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Úvod" sheetId="4" r:id="rId1"/>
    <sheet name="Postav postavu 2,0" sheetId="1" r:id="rId2"/>
    <sheet name="Postav postavu 1,6" sheetId="5" r:id="rId3"/>
  </sheets>
  <calcPr calcId="124519"/>
</workbook>
</file>

<file path=xl/calcChain.xml><?xml version="1.0" encoding="utf-8"?>
<calcChain xmlns="http://schemas.openxmlformats.org/spreadsheetml/2006/main">
  <c r="D66" i="5"/>
  <c r="J65"/>
  <c r="J64"/>
  <c r="E64"/>
  <c r="C60"/>
  <c r="B60"/>
  <c r="F55"/>
  <c r="A55"/>
  <c r="F64" s="1"/>
  <c r="A51"/>
  <c r="J68" s="1"/>
  <c r="F50"/>
  <c r="A47"/>
  <c r="B70" s="1"/>
  <c r="G37"/>
  <c r="E34"/>
  <c r="J33"/>
  <c r="E33"/>
  <c r="D32"/>
  <c r="J31"/>
  <c r="G31"/>
  <c r="G30"/>
  <c r="D30"/>
  <c r="E30" s="1"/>
  <c r="C30"/>
  <c r="G29"/>
  <c r="J28"/>
  <c r="E37" s="1"/>
  <c r="J26"/>
  <c r="D18" s="1"/>
  <c r="C18" s="1"/>
  <c r="C25"/>
  <c r="C23"/>
  <c r="E20"/>
  <c r="D20"/>
  <c r="C20" s="1"/>
  <c r="E18"/>
  <c r="E16"/>
  <c r="D16"/>
  <c r="C16" s="1"/>
  <c r="E14"/>
  <c r="E12"/>
  <c r="E10"/>
  <c r="D10"/>
  <c r="C10" s="1"/>
  <c r="E7"/>
  <c r="F6"/>
  <c r="E6"/>
  <c r="J39" l="1"/>
  <c r="H59"/>
  <c r="J54"/>
  <c r="J49"/>
  <c r="J44"/>
  <c r="J25"/>
  <c r="J23"/>
  <c r="J37"/>
  <c r="D37"/>
  <c r="F37"/>
  <c r="B67"/>
  <c r="B68"/>
  <c r="B69"/>
  <c r="D12"/>
  <c r="C12" s="1"/>
  <c r="D14"/>
  <c r="C14" s="1"/>
  <c r="C66"/>
  <c r="E66"/>
  <c r="J67"/>
  <c r="J35" l="1"/>
  <c r="J27"/>
  <c r="G50"/>
  <c r="J50"/>
  <c r="I49"/>
  <c r="H60"/>
  <c r="G59"/>
  <c r="J29"/>
  <c r="I45"/>
  <c r="E46" s="1"/>
  <c r="B65" s="1"/>
  <c r="J45"/>
  <c r="I44"/>
  <c r="D13" s="1"/>
  <c r="J55"/>
  <c r="G55"/>
  <c r="I54"/>
  <c r="C46" l="1"/>
  <c r="D64" s="1"/>
  <c r="C44"/>
  <c r="C43"/>
  <c r="B64" s="1"/>
  <c r="C64" l="1"/>
  <c r="C45"/>
  <c r="C25" i="1" l="1"/>
  <c r="D20"/>
  <c r="D18"/>
  <c r="D16"/>
  <c r="D14"/>
  <c r="E18"/>
  <c r="E16"/>
  <c r="E14"/>
  <c r="J33"/>
  <c r="J31"/>
  <c r="J28"/>
  <c r="D32"/>
  <c r="E34"/>
  <c r="J26"/>
  <c r="E6" s="1"/>
  <c r="C23" s="1"/>
  <c r="F6"/>
  <c r="E7"/>
  <c r="A55"/>
  <c r="D12" l="1"/>
  <c r="D10"/>
  <c r="F55"/>
  <c r="B60"/>
  <c r="C60"/>
  <c r="A51"/>
  <c r="J67" s="1"/>
  <c r="F64"/>
  <c r="F50"/>
  <c r="A47"/>
  <c r="J65"/>
  <c r="E64" s="1"/>
  <c r="J64"/>
  <c r="E20"/>
  <c r="E12"/>
  <c r="E10"/>
  <c r="E33"/>
  <c r="E37"/>
  <c r="G31"/>
  <c r="G30"/>
  <c r="G37"/>
  <c r="C30"/>
  <c r="D30" s="1"/>
  <c r="E30" s="1"/>
  <c r="C45" l="1"/>
  <c r="D66"/>
  <c r="J68"/>
  <c r="E66" s="1"/>
  <c r="B67"/>
  <c r="C20"/>
  <c r="C18"/>
  <c r="C16"/>
  <c r="C12"/>
  <c r="B68"/>
  <c r="B70"/>
  <c r="B69"/>
  <c r="D37"/>
  <c r="C14"/>
  <c r="F37"/>
  <c r="G29"/>
  <c r="C10"/>
  <c r="J23" s="1"/>
  <c r="J27" l="1"/>
  <c r="J44"/>
  <c r="I44" s="1"/>
  <c r="J29"/>
  <c r="H59"/>
  <c r="H60" s="1"/>
  <c r="J54"/>
  <c r="J55" s="1"/>
  <c r="J49"/>
  <c r="J50" s="1"/>
  <c r="J39"/>
  <c r="J35"/>
  <c r="J37"/>
  <c r="J25"/>
  <c r="G50" l="1"/>
  <c r="G59"/>
  <c r="I49"/>
  <c r="J45"/>
  <c r="I45"/>
  <c r="E46" s="1"/>
  <c r="B65" s="1"/>
  <c r="D13"/>
  <c r="C44" s="1"/>
  <c r="G55"/>
  <c r="C66" s="1"/>
  <c r="I54"/>
  <c r="C42" l="1"/>
  <c r="C46"/>
  <c r="D64" s="1"/>
  <c r="C64"/>
  <c r="C43" l="1"/>
  <c r="B64" s="1"/>
</calcChain>
</file>

<file path=xl/comments1.xml><?xml version="1.0" encoding="utf-8"?>
<comments xmlns="http://schemas.openxmlformats.org/spreadsheetml/2006/main">
  <authors>
    <author>Gonzáles</author>
  </authors>
  <commentList>
    <comment ref="C4" authorId="0">
      <text>
        <r>
          <rPr>
            <b/>
            <sz val="8"/>
            <color indexed="81"/>
            <rFont val="Tahoma"/>
            <family val="2"/>
            <charset val="238"/>
          </rPr>
          <t>Gonzáles:
Vyberte si druh či poddruh svého oblíbeného humanoida, za kterého chcete hrát.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Vyberte si povolání dle svého gusta.</t>
        </r>
      </text>
    </comment>
    <comment ref="B9" authorId="0">
      <text>
        <r>
          <rPr>
            <b/>
            <sz val="8"/>
            <color indexed="81"/>
            <rFont val="Tahoma"/>
            <charset val="1"/>
          </rPr>
          <t>Gonzáles:</t>
        </r>
        <r>
          <rPr>
            <sz val="8"/>
            <color indexed="81"/>
            <rFont val="Tahoma"/>
            <charset val="1"/>
          </rPr>
          <t xml:space="preserve">
Tato tabulka bere v potaz rozdíly mezi pohlavími. Pokud na ně nehrajete, prostě si stvořte v tomto dokumentu postavu mužského pohlaví.</t>
        </r>
      </text>
    </comment>
    <comment ref="E9" authorId="0">
      <text>
        <r>
          <rPr>
            <b/>
            <sz val="8"/>
            <color indexed="81"/>
            <rFont val="Tahoma"/>
            <charset val="1"/>
          </rPr>
          <t>Gonzáles:</t>
        </r>
        <r>
          <rPr>
            <sz val="8"/>
            <color indexed="81"/>
            <rFont val="Tahoma"/>
            <charset val="1"/>
          </rPr>
          <t xml:space="preserve">
Přidá body za povolání.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Sem zadejte hodnoty pro první úroveň. Lhostejno, zda naházené kostkou nebo zvolené záměrně.</t>
        </r>
      </text>
    </comment>
    <comment ref="G9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Sem zadejte hodnoty pro další úrovně - lhostejno zda součet do jednoho políčka nebo podrobněji rozepsané.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Udělat úpravu podle pravidel edice B.</t>
        </r>
      </text>
    </comment>
    <comment ref="F28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Kontroluje rozdělení bodů původu mezi původ, majetek a dovednosti a také jestli není v dovednostech nebo majetku více jak o 3 body původu více než v původu.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Zobrazený počet bodů si rozděl mezi hlavní vlastnosti svého povolání (Bojovník: Síla a Obratnost, Zloděj: Obratnost a Zručnost, Hraničář: Síla a Zručnost, Čaroděj: Vůle a Inteligence, Theurg: Inteligence a Charisma, Kněz: Vůle a Charisma). Součet hodnot přičtených na první úrovni nesmí být vyšší než +3 (týká se jen Výjimečných vlastností).</t>
        </r>
      </text>
    </comment>
    <comment ref="E29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Tyto body rozděl mezi své vedlejší dovednosti (sílu, obratnost, zručnost, vůli, inteligenci a charisma) dle své vůle, k jedné vlastnosti ale nesmíš přidat více jak polovinu zobrazených bodů, nebo hodu kostky.</t>
        </r>
      </text>
    </comment>
    <comment ref="E33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Podle původu dostanete zpočátku také nějaké vybavení, tuto tabulku berte spíše orientačně, důležitá bude přímá domluva s PJ.</t>
        </r>
      </text>
    </comment>
    <comment ref="E34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Naše ceny i majetek do začátku jsou vyděleny 10 a ceník je také předělaný. Uvědomte si však, že postava s 1 až 3 stříbrňky v kapse přežívá od ze dne na den.</t>
        </r>
      </text>
    </comment>
    <comment ref="D36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Zde jsou započítány i speciální body do fyzických dovedností pro bojovníka.</t>
        </r>
      </text>
    </comment>
    <comment ref="G37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V rámci lepší tvorby postavy jsme přidali speciální body do dovedností, které lze investovat jak do fyzických tak i do psychických nebo do kombinovaných dovedností - je to jedno.
Vztah je 1 bod za každou sudou úroveň + 1 bod na 1. úrovni.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Boj na jezdeckém zvířeti nebo leteckém zvířeti atd. není do bojových parametrů započítán.
Vliv příliš těžké zbroje zde započítán je. Bojovníkovi přidává +1. Nepočítá se se schopnostmi povolání.
Boj je vypočítán správně, stejně jako rychlost, až po zadání výšky postavy.</t>
        </r>
      </text>
    </comment>
    <comment ref="E43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Příliš těžká zbroj dává postih k obratnosti, který se projeví na Boji, Útoku a Obraně.</t>
        </r>
      </text>
    </comment>
    <comment ref="F43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Omezení zadejte s mínusem! Jinak bude výsledné BČ o omezení vyšší.</t>
        </r>
      </text>
    </comment>
    <comment ref="I44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Potřebná síla je opravována podle velikosti postavy.</t>
        </r>
      </text>
    </comment>
    <comment ref="B48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Při výpočtu parametrů jiné zbraně či kombinace vymažte z nepotřebných polí data. Ale u vyplňvaných řádků zadejte všechny parametry.
Pokud zadáte štít, zbraň i druhou zbraň nebo nezadáte všechny parametry, můžou vycházet nesmysly a nebo chybná čísla nebo nic. V prvních pěti sloupečcích nesmí zbýt ani 0.</t>
        </r>
      </text>
    </comment>
    <comment ref="B49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Sem zapište zbraň s větší potřebnou silou.</t>
        </r>
      </text>
    </comment>
    <comment ref="B53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U zbraní chybí střelné zbraně a biče a výpočet ZZ.</t>
        </r>
      </text>
    </comment>
    <comment ref="B54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Zapište zbraň s nižší potřebnou silou.</t>
        </r>
      </text>
    </comment>
    <comment ref="B58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Předpokládá držení v nedominantní ruce.</t>
        </r>
      </text>
    </comment>
    <comment ref="B63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Chybí zde postihy za boj se dvěma zbraněma, boj na letecké či jezdecké nestvůře a není zde výpočet ZZ.</t>
        </r>
      </text>
    </comment>
    <comment ref="I63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Postihy za nezvládnutou zbraňovou dovednost jsou u BČ dvojnásobné, u úč a krytu pak -4,-2,-1,0.</t>
        </r>
      </text>
    </comment>
    <comment ref="B67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Zadáním první zbraně se zde píše stále "Doplň název zbraně" - ignorujte to.
</t>
        </r>
      </text>
    </comment>
  </commentList>
</comments>
</file>

<file path=xl/comments2.xml><?xml version="1.0" encoding="utf-8"?>
<comments xmlns="http://schemas.openxmlformats.org/spreadsheetml/2006/main">
  <authors>
    <author>Gonzáles</author>
  </authors>
  <commentList>
    <comment ref="C4" authorId="0">
      <text>
        <r>
          <rPr>
            <b/>
            <sz val="8"/>
            <color indexed="81"/>
            <rFont val="Tahoma"/>
            <family val="2"/>
            <charset val="238"/>
          </rPr>
          <t>Gonzáles:
Vyberte si druh či poddruh svého oblíbeného humanoida, za kterého chcete hrát.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Vyberte si povolání dle svého gusta.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Tato tabulka bere v potaz rozdíly mezi pohlavími. Pokud na ně nehrajete, prostě si stvořte v tomto dokumentu postavu mužského pohlaví.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Přidá body za povolání.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Sem zadejte hodnoty pro první úroveň. Lhostejno, zda naházené kostkou nebo zvolené záměrně.</t>
        </r>
      </text>
    </comment>
    <comment ref="G9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Sem zadejte hodnoty pro další úrovně - lhostejno zda součet do jednoho políčka nebo podrobněji rozepsané.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Udělat úpravu podle pravidel edice B.</t>
        </r>
      </text>
    </comment>
    <comment ref="F28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Kontroluje rozdělení bodů původu mezi původ, majetek a dovednosti a také jestli není v dovednostech nebo majetku více jak o 3 body původu více než v původu.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Zobrazený počet bodů si rozděl mezi hlavní vlastnosti svého povolání (Bojovník: Síla a Obratnost, Zloděj: Obratnost a Zručnost, Hraničář: Síla a Zručnost, Čaroděj: Vůle a Inteligence, Theurg: Inteligence a Charisma, Kněz: Vůle a Charisma). Součet hodnot přičtených na první úrovni nesmí být vyšší než +3 (týká se jen Výjimečných vlastností).</t>
        </r>
      </text>
    </comment>
    <comment ref="E29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Tyto body rozděl mezi své vedlejší dovednosti (sílu, obratnost, zručnost, vůli, inteligenci a charisma) dle své vůle, k jedné vlastnosti ale nesmíš přidat více jak polovinu zobrazených bodů, nebo hodu kostky.</t>
        </r>
      </text>
    </comment>
    <comment ref="E33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Podle původu dostanete zpočátku také nějaké vybavení, tuto tabulku berte spíše orientačně, důležitá bude přímá domluva s PJ.</t>
        </r>
      </text>
    </comment>
    <comment ref="E34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Naše ceny i majetek do začátku jsou vyděleny 10 a ceník je také předělaný. Uvědomte si však, že postava s 1 až 3 stříbrňky v kapse přežívá od ze dne na den.</t>
        </r>
      </text>
    </comment>
    <comment ref="D36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Zde jsou započítány i speciální body do fyzických dovedností pro bojovníka.</t>
        </r>
      </text>
    </comment>
    <comment ref="G37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V rámci lepší tvorby postavy jsme přidali speciální body do dovedností, které lze investovat jak do fyzických tak i do psychických nebo do kombinovaných dovedností - je to jedno.
Vztah je 1 bod za každou sudou úroveň + 1 bod na 1. úrovni.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Boj na jezdeckém zvířeti nebo leteckém zvířeti atd. není do bojových parametrů započítán.
Vliv příliš těžké zbroje zde započítán je. Bojovníkovi přidává +1. Nepočítá se se schopnostmi povolání.
</t>
        </r>
      </text>
    </comment>
    <comment ref="E43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Příliš těžká zbroj dává postih k obratnosti, který se projeví na Boji, Útoku a Obraně.</t>
        </r>
      </text>
    </comment>
    <comment ref="F43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Omezení zadejte s mínusem! Jinak bude výsledné BČ o omezení vyšší.</t>
        </r>
      </text>
    </comment>
    <comment ref="I44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Potřebná síla je opravována podle velikosti postavy.</t>
        </r>
      </text>
    </comment>
    <comment ref="B48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Při výpočtu parametrů jiné zbraně či kombinace vymažte z nepotřebných polí data. Ale u vyplňvaných řádků zadejte všechny parametry.
Pokud zadáte štít, zbraň i druhou zbraň nebo nezadáte všechny parametry, můžou vycházet nesmysly a nebo chybná čísla nebo nic. V prvních pěti sloupečcích nesmí zbýt ani 0.</t>
        </r>
      </text>
    </comment>
    <comment ref="B49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Sem zapište zbraň s větší potřebnou silou.</t>
        </r>
      </text>
    </comment>
    <comment ref="B53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U zbraní chybí střelné zbraně a biče a výpočet ZZ.</t>
        </r>
      </text>
    </comment>
    <comment ref="B54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Zapište zbraň s nižší potřebnou silou.</t>
        </r>
      </text>
    </comment>
    <comment ref="B58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Předpokládá držení v nedominantní ruce.</t>
        </r>
      </text>
    </comment>
    <comment ref="B63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Chybí zde postihy za boj se dvěma zbraněma, boj na letecké či jezdecké nestvůře a není zde výpočet ZZ.</t>
        </r>
      </text>
    </comment>
    <comment ref="I63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Postihy za nezvládnutou zbraňovou dovednost jsou u BČ dvojnásobné, u úč a krytu pak -4,-2,-1,0.</t>
        </r>
      </text>
    </comment>
    <comment ref="B67" authorId="0">
      <text>
        <r>
          <rPr>
            <b/>
            <sz val="8"/>
            <color indexed="81"/>
            <rFont val="Tahoma"/>
            <family val="2"/>
            <charset val="238"/>
          </rPr>
          <t>Gonzáles:</t>
        </r>
        <r>
          <rPr>
            <sz val="8"/>
            <color indexed="81"/>
            <rFont val="Tahoma"/>
            <family val="2"/>
            <charset val="238"/>
          </rPr>
          <t xml:space="preserve">
Zadáním první zbraně se zde píše stále "Doplň název zbraně" - ignorujte to.
</t>
        </r>
      </text>
    </comment>
  </commentList>
</comments>
</file>

<file path=xl/sharedStrings.xml><?xml version="1.0" encoding="utf-8"?>
<sst xmlns="http://schemas.openxmlformats.org/spreadsheetml/2006/main" count="486" uniqueCount="208">
  <si>
    <t>Síla</t>
  </si>
  <si>
    <t>Obratnost</t>
  </si>
  <si>
    <t>Zručnost</t>
  </si>
  <si>
    <t>Vůle</t>
  </si>
  <si>
    <t>Inteligence</t>
  </si>
  <si>
    <t>Charisma</t>
  </si>
  <si>
    <t>Úroveň</t>
  </si>
  <si>
    <t>Odolnost</t>
  </si>
  <si>
    <t>Výdrž</t>
  </si>
  <si>
    <t>Smysly</t>
  </si>
  <si>
    <t>Krása</t>
  </si>
  <si>
    <t>Nebezpečnost</t>
  </si>
  <si>
    <t>Důstojnost</t>
  </si>
  <si>
    <t>Výška</t>
  </si>
  <si>
    <t>Boj</t>
  </si>
  <si>
    <t>Útok</t>
  </si>
  <si>
    <t>Střelba</t>
  </si>
  <si>
    <t>Obrana</t>
  </si>
  <si>
    <t>Povolání</t>
  </si>
  <si>
    <t>Zloděj</t>
  </si>
  <si>
    <t>Hraničář</t>
  </si>
  <si>
    <t>Čaroděj</t>
  </si>
  <si>
    <t>Theurg</t>
  </si>
  <si>
    <t>Kněz</t>
  </si>
  <si>
    <t>Bojovník</t>
  </si>
  <si>
    <t>Trpaslík</t>
  </si>
  <si>
    <t>Skřet</t>
  </si>
  <si>
    <t>Kroll</t>
  </si>
  <si>
    <t>Hobit</t>
  </si>
  <si>
    <t>Člověk</t>
  </si>
  <si>
    <t>Barbar</t>
  </si>
  <si>
    <t>Lidská žena</t>
  </si>
  <si>
    <t>Horal</t>
  </si>
  <si>
    <t>Horalka</t>
  </si>
  <si>
    <t>Barbarka</t>
  </si>
  <si>
    <t>Elfka</t>
  </si>
  <si>
    <t>Lesní elf</t>
  </si>
  <si>
    <t>Lesní elfka</t>
  </si>
  <si>
    <t>Temný elf</t>
  </si>
  <si>
    <t>Temná elfka</t>
  </si>
  <si>
    <t>Trpaslice</t>
  </si>
  <si>
    <t>Lesní trpaslík</t>
  </si>
  <si>
    <t>Lesní trpaslice</t>
  </si>
  <si>
    <t>Horský trpaslík</t>
  </si>
  <si>
    <t>Horská trpaslice</t>
  </si>
  <si>
    <t>Skřetice</t>
  </si>
  <si>
    <t>Skurut</t>
  </si>
  <si>
    <t>Skurutka</t>
  </si>
  <si>
    <t>Goblin</t>
  </si>
  <si>
    <t>Goblinka</t>
  </si>
  <si>
    <t>Hobitka</t>
  </si>
  <si>
    <t>Krollka</t>
  </si>
  <si>
    <t>Divoký kroll</t>
  </si>
  <si>
    <t>Divoká krollka</t>
  </si>
  <si>
    <t>Bojovnice</t>
  </si>
  <si>
    <t>Zlodějka</t>
  </si>
  <si>
    <t>Hraničářka</t>
  </si>
  <si>
    <t>Čarodějka</t>
  </si>
  <si>
    <t>Theurgé</t>
  </si>
  <si>
    <t>Kněžka</t>
  </si>
  <si>
    <t>Lidé</t>
  </si>
  <si>
    <t>Trpaslíci</t>
  </si>
  <si>
    <t>Elfové</t>
  </si>
  <si>
    <t>Hobiti</t>
  </si>
  <si>
    <t>Krollové</t>
  </si>
  <si>
    <t>Barbaři</t>
  </si>
  <si>
    <t>Skřeti</t>
  </si>
  <si>
    <t>Rychlost</t>
  </si>
  <si>
    <t>Obvyklá výška</t>
  </si>
  <si>
    <t>Velikost</t>
  </si>
  <si>
    <t>Poddruh</t>
  </si>
  <si>
    <t>Skuruti</t>
  </si>
  <si>
    <t>Goblini</t>
  </si>
  <si>
    <t>Divocí krollové</t>
  </si>
  <si>
    <t>Lesní elfové</t>
  </si>
  <si>
    <t>Temní elfové</t>
  </si>
  <si>
    <t>Horští trpaslíci</t>
  </si>
  <si>
    <t>Lesní trpaslíci</t>
  </si>
  <si>
    <t>Horalové</t>
  </si>
  <si>
    <t>1. úroveň</t>
  </si>
  <si>
    <t>Zbraň</t>
  </si>
  <si>
    <t>Délka</t>
  </si>
  <si>
    <t>Útočnost</t>
  </si>
  <si>
    <t>Kryt</t>
  </si>
  <si>
    <t>Potřebná síla</t>
  </si>
  <si>
    <t>Postihy za sílu</t>
  </si>
  <si>
    <t>Dovednosti</t>
  </si>
  <si>
    <t>Kombinace</t>
  </si>
  <si>
    <t>Dobré zázemí</t>
  </si>
  <si>
    <t>Výjmečné vlastnosti</t>
  </si>
  <si>
    <t>Bodů původu</t>
  </si>
  <si>
    <t>Body hl. vl.</t>
  </si>
  <si>
    <t>Body ve. vl.</t>
  </si>
  <si>
    <t>Kontrola BP</t>
  </si>
  <si>
    <t>Původ</t>
  </si>
  <si>
    <t>Majetek</t>
  </si>
  <si>
    <t>Fyzické</t>
  </si>
  <si>
    <t>Psychické</t>
  </si>
  <si>
    <t>Kombinované</t>
  </si>
  <si>
    <t>Speciální</t>
  </si>
  <si>
    <t>Celkem</t>
  </si>
  <si>
    <t>Hlavní vlastnosti</t>
  </si>
  <si>
    <t>Vlastnosti druhu</t>
  </si>
  <si>
    <t>Další úrovně</t>
  </si>
  <si>
    <t>Jméno postavy</t>
  </si>
  <si>
    <t>Bojové číslo</t>
  </si>
  <si>
    <t>1. stupeň</t>
  </si>
  <si>
    <t>0. stupeň</t>
  </si>
  <si>
    <t>2. stupeň</t>
  </si>
  <si>
    <t>3. stupeň</t>
  </si>
  <si>
    <t>Štít</t>
  </si>
  <si>
    <t>Zbroj</t>
  </si>
  <si>
    <t>Postih k Obr</t>
  </si>
  <si>
    <t>Omezení</t>
  </si>
  <si>
    <t>Omezení štítu</t>
  </si>
  <si>
    <t>Stupeň</t>
  </si>
  <si>
    <t>Nošení zbroje</t>
  </si>
  <si>
    <t>Používání štítu</t>
  </si>
  <si>
    <t>Boj beze zbraně</t>
  </si>
  <si>
    <t>Skupina</t>
  </si>
  <si>
    <t>Význačný smysl</t>
  </si>
  <si>
    <t>Chybějící síla</t>
  </si>
  <si>
    <t>BČ</t>
  </si>
  <si>
    <t>Úč/kryt</t>
  </si>
  <si>
    <t>Boj noži a dýkami</t>
  </si>
  <si>
    <t>Boj šavlemi a tesáky</t>
  </si>
  <si>
    <t>Boj meči</t>
  </si>
  <si>
    <t xml:space="preserve">Boj kyji a palicemi </t>
  </si>
  <si>
    <t>Boj řemdihy a bijáky</t>
  </si>
  <si>
    <t>Boj holemi a kopími</t>
  </si>
  <si>
    <t>Boj sudlicemi a trojzubci</t>
  </si>
  <si>
    <t>Boj sekerami</t>
  </si>
  <si>
    <t>Boj vrhacími zbraněmi</t>
  </si>
  <si>
    <t>Druhá zbraň</t>
  </si>
  <si>
    <t>Postih za chybějící zbraňovou dovednost</t>
  </si>
  <si>
    <t>Obrana (úhyb)</t>
  </si>
  <si>
    <t>Kryt štítu</t>
  </si>
  <si>
    <t>2. zbraň v kombinaci</t>
  </si>
  <si>
    <t>Dvě zbraně</t>
  </si>
  <si>
    <t>Dominantní ruka</t>
  </si>
  <si>
    <t>Nedominantní ruka</t>
  </si>
  <si>
    <t>Obouručně</t>
  </si>
  <si>
    <t>Ne</t>
  </si>
  <si>
    <t>Držena</t>
  </si>
  <si>
    <t>Gonzáles</t>
  </si>
  <si>
    <t>http://deniksilenehopj.wz.cz</t>
  </si>
  <si>
    <t>Další smysl</t>
  </si>
  <si>
    <r>
      <t>Všechno se zde počítá samo, stačí jen</t>
    </r>
    <r>
      <rPr>
        <sz val="10"/>
        <color rgb="FF00B050"/>
        <rFont val="Arial"/>
        <family val="2"/>
        <charset val="238"/>
      </rPr>
      <t xml:space="preserve"> </t>
    </r>
    <r>
      <rPr>
        <sz val="10"/>
        <color theme="1" tint="4.9989318521683403E-2"/>
        <rFont val="Arial"/>
        <family val="2"/>
        <charset val="238"/>
      </rPr>
      <t>zadat pár základních parametrů</t>
    </r>
    <r>
      <rPr>
        <sz val="10"/>
        <color theme="6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číst poznámky (ty červené pravé horní růžky). Zelené podbarvení a červené rámečky ukazují měnitelné parametry.</t>
    </r>
  </si>
  <si>
    <t>verze 2,0</t>
  </si>
  <si>
    <t>Nekromant</t>
  </si>
  <si>
    <t>Nekromantka</t>
  </si>
  <si>
    <t>Alchymista</t>
  </si>
  <si>
    <t>Alchymistka</t>
  </si>
  <si>
    <t>Permoníci</t>
  </si>
  <si>
    <t>Permoník</t>
  </si>
  <si>
    <t>Permonice</t>
  </si>
  <si>
    <t>Šotek</t>
  </si>
  <si>
    <t>Šotka</t>
  </si>
  <si>
    <t>Pláňový elf</t>
  </si>
  <si>
    <t>Pláňová elfka</t>
  </si>
  <si>
    <t>Zelený elf</t>
  </si>
  <si>
    <t>Sil</t>
  </si>
  <si>
    <t>Obr</t>
  </si>
  <si>
    <t>Zrč</t>
  </si>
  <si>
    <t>Vol</t>
  </si>
  <si>
    <t>Int</t>
  </si>
  <si>
    <t>Chr</t>
  </si>
  <si>
    <t>Vel</t>
  </si>
  <si>
    <t>Váha</t>
  </si>
  <si>
    <t>Zelená elfka</t>
  </si>
  <si>
    <t>Stříbrný elf</t>
  </si>
  <si>
    <t>Stříbrná elfka</t>
  </si>
  <si>
    <t>Sněžný elf</t>
  </si>
  <si>
    <t>Sněžná elfka</t>
  </si>
  <si>
    <t>Svobodný trpaslík</t>
  </si>
  <si>
    <t>Svobodná trpaslice</t>
  </si>
  <si>
    <t>Hlubinný trpaslík</t>
  </si>
  <si>
    <t>Hlubinná trpaslice</t>
  </si>
  <si>
    <t>Jeskynní kroll</t>
  </si>
  <si>
    <t>Jeskynní krollka</t>
  </si>
  <si>
    <t>Pralesní kroll</t>
  </si>
  <si>
    <t>Pralesní krollka</t>
  </si>
  <si>
    <t>Divoch</t>
  </si>
  <si>
    <t>Divoška</t>
  </si>
  <si>
    <t>55-105</t>
  </si>
  <si>
    <t>40-100</t>
  </si>
  <si>
    <t>55-115</t>
  </si>
  <si>
    <t>45-100</t>
  </si>
  <si>
    <t>45-80</t>
  </si>
  <si>
    <t>40-75</t>
  </si>
  <si>
    <t>60-120</t>
  </si>
  <si>
    <t>Divoši</t>
  </si>
  <si>
    <t>Hlubinní trpaslíci</t>
  </si>
  <si>
    <t>Svobodní trpaslíci</t>
  </si>
  <si>
    <t>Pláňoví elfové</t>
  </si>
  <si>
    <t>Zelení elfové</t>
  </si>
  <si>
    <t>Stříbrní elfové</t>
  </si>
  <si>
    <t>Sněžní elfové</t>
  </si>
  <si>
    <t>Jeskynní krollové</t>
  </si>
  <si>
    <t>Pralesní krollové</t>
  </si>
  <si>
    <t>Šotci</t>
  </si>
  <si>
    <t>Tato verze obsahuje úpravy pro stávající hru (2015).</t>
  </si>
  <si>
    <t>Ahoj, tento excelovský generátor postav do hry Dračí doupě plus byl vytvořen k ulehčení či kontrole vytvořených postav. Obsahuje dvě verze generátoru.</t>
  </si>
  <si>
    <t>Obě verze pracují na principu vyplňování červeně ohraničených políček požadovanou informací (obvykle je tam i malá nápověda) a u výběru druhu, povolání, rozdělování bodů a úrovně nabídne rozbalovací nabídku.</t>
  </si>
  <si>
    <t>Verze 1.6 je psaná pro běžná pravidla (změny jsou následující: lesní elfové místo zelených [jen jméno], bojovník dostává +1 k BČ, bojové dovednosti mají zesílené postihy, přidáni barbaři).</t>
  </si>
  <si>
    <t>Verze 2.0 je psaná pro novou hru (2015) a obsahuje všechny druhy a poddruhy uvedené v tabulce níže ve stránce. Také obsahuje nově povolání Nekromant a Alchymista (pravidla nejsou veřejně přístupná zatím ani pro jednoho - pouze pro mé hráče) a bonus pro bojovníka +1 k BČ a bojové dovednosti mají zesílené postihy - tj. vše dle stránek.</t>
  </si>
  <si>
    <t>Gonzáles 7. 6. 2015</t>
  </si>
  <si>
    <t>verze 1,6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</si>
</sst>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8"/>
      <name val="Arial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0"/>
      <color rgb="FF7030A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6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i/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theme="1" tint="0.34998626667073579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 style="thin">
        <color theme="1" tint="0.34998626667073579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14999847407452621"/>
      </left>
      <right/>
      <top style="medium">
        <color rgb="FFC00000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rgb="FFC00000"/>
      </top>
      <bottom style="thin">
        <color theme="0" tint="-0.1499984740745262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 style="thin">
        <color theme="0" tint="-0.14999847407452621"/>
      </left>
      <right/>
      <top style="medium">
        <color rgb="FF006600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rgb="FF006600"/>
      </top>
      <bottom style="thin">
        <color theme="0" tint="-0.14999847407452621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/>
      <right/>
      <top/>
      <bottom style="medium">
        <color rgb="FF0066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0066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rgb="FF0066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0" fillId="0" borderId="1" xfId="0" applyBorder="1"/>
    <xf numFmtId="1" fontId="0" fillId="0" borderId="1" xfId="0" applyNumberFormat="1" applyBorder="1"/>
    <xf numFmtId="1" fontId="0" fillId="0" borderId="0" xfId="0" applyNumberFormat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4" xfId="0" applyBorder="1"/>
    <xf numFmtId="0" fontId="0" fillId="2" borderId="0" xfId="0" applyFill="1" applyAlignment="1">
      <alignment horizontal="right"/>
    </xf>
    <xf numFmtId="0" fontId="4" fillId="0" borderId="0" xfId="0" applyFont="1"/>
    <xf numFmtId="0" fontId="0" fillId="0" borderId="10" xfId="0" applyBorder="1"/>
    <xf numFmtId="0" fontId="0" fillId="0" borderId="0" xfId="0" applyFill="1"/>
    <xf numFmtId="0" fontId="4" fillId="3" borderId="0" xfId="0" applyFont="1" applyFill="1"/>
    <xf numFmtId="0" fontId="2" fillId="3" borderId="0" xfId="0" applyFont="1" applyFill="1"/>
    <xf numFmtId="0" fontId="2" fillId="3" borderId="7" xfId="0" applyFont="1" applyFill="1" applyBorder="1"/>
    <xf numFmtId="0" fontId="2" fillId="3" borderId="8" xfId="0" applyFont="1" applyFill="1" applyBorder="1"/>
    <xf numFmtId="0" fontId="5" fillId="0" borderId="0" xfId="0" applyFont="1" applyFill="1"/>
    <xf numFmtId="0" fontId="0" fillId="3" borderId="7" xfId="0" applyFill="1" applyBorder="1"/>
    <xf numFmtId="0" fontId="5" fillId="3" borderId="8" xfId="0" applyFont="1" applyFill="1" applyBorder="1"/>
    <xf numFmtId="0" fontId="0" fillId="0" borderId="9" xfId="0" applyBorder="1"/>
    <xf numFmtId="0" fontId="5" fillId="0" borderId="10" xfId="0" applyFont="1" applyFill="1" applyBorder="1"/>
    <xf numFmtId="0" fontId="7" fillId="0" borderId="14" xfId="0" applyFont="1" applyBorder="1"/>
    <xf numFmtId="0" fontId="7" fillId="0" borderId="15" xfId="0" applyFont="1" applyBorder="1"/>
    <xf numFmtId="0" fontId="0" fillId="0" borderId="19" xfId="0" applyBorder="1"/>
    <xf numFmtId="0" fontId="6" fillId="0" borderId="19" xfId="0" applyFont="1" applyBorder="1"/>
    <xf numFmtId="0" fontId="2" fillId="0" borderId="19" xfId="0" applyFont="1" applyBorder="1"/>
    <xf numFmtId="0" fontId="2" fillId="3" borderId="19" xfId="0" applyFont="1" applyFill="1" applyBorder="1"/>
    <xf numFmtId="0" fontId="8" fillId="0" borderId="0" xfId="0" applyFont="1" applyFill="1"/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0" fillId="0" borderId="5" xfId="0" applyBorder="1" applyAlignment="1"/>
    <xf numFmtId="0" fontId="0" fillId="0" borderId="2" xfId="0" applyBorder="1" applyAlignment="1">
      <alignment horizontal="center"/>
    </xf>
    <xf numFmtId="0" fontId="0" fillId="0" borderId="20" xfId="0" applyBorder="1"/>
    <xf numFmtId="0" fontId="2" fillId="3" borderId="3" xfId="0" applyFont="1" applyFill="1" applyBorder="1"/>
    <xf numFmtId="0" fontId="4" fillId="0" borderId="3" xfId="0" applyFont="1" applyBorder="1"/>
    <xf numFmtId="0" fontId="2" fillId="0" borderId="21" xfId="0" applyFont="1" applyBorder="1"/>
    <xf numFmtId="0" fontId="3" fillId="0" borderId="0" xfId="0" applyFont="1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13" fillId="0" borderId="0" xfId="0" applyFont="1"/>
    <xf numFmtId="0" fontId="0" fillId="4" borderId="0" xfId="0" applyFill="1"/>
    <xf numFmtId="0" fontId="2" fillId="4" borderId="0" xfId="0" applyFont="1" applyFill="1"/>
    <xf numFmtId="0" fontId="2" fillId="3" borderId="33" xfId="0" applyFont="1" applyFill="1" applyBorder="1"/>
    <xf numFmtId="0" fontId="2" fillId="3" borderId="34" xfId="0" applyFont="1" applyFill="1" applyBorder="1"/>
    <xf numFmtId="0" fontId="2" fillId="0" borderId="37" xfId="0" applyFont="1" applyBorder="1"/>
    <xf numFmtId="0" fontId="0" fillId="0" borderId="38" xfId="0" applyBorder="1"/>
    <xf numFmtId="0" fontId="2" fillId="0" borderId="38" xfId="0" applyFont="1" applyBorder="1"/>
    <xf numFmtId="0" fontId="2" fillId="3" borderId="35" xfId="0" applyFont="1" applyFill="1" applyBorder="1"/>
    <xf numFmtId="0" fontId="2" fillId="3" borderId="38" xfId="0" applyFont="1" applyFill="1" applyBorder="1"/>
    <xf numFmtId="0" fontId="0" fillId="0" borderId="42" xfId="0" applyBorder="1"/>
    <xf numFmtId="0" fontId="0" fillId="0" borderId="44" xfId="0" applyBorder="1"/>
    <xf numFmtId="0" fontId="0" fillId="0" borderId="45" xfId="0" applyBorder="1"/>
    <xf numFmtId="0" fontId="2" fillId="0" borderId="31" xfId="0" applyFont="1" applyBorder="1"/>
    <xf numFmtId="0" fontId="2" fillId="0" borderId="29" xfId="0" applyFont="1" applyBorder="1"/>
    <xf numFmtId="1" fontId="2" fillId="0" borderId="5" xfId="0" applyNumberFormat="1" applyFont="1" applyBorder="1"/>
    <xf numFmtId="1" fontId="2" fillId="0" borderId="1" xfId="0" applyNumberFormat="1" applyFont="1" applyBorder="1"/>
    <xf numFmtId="0" fontId="2" fillId="0" borderId="27" xfId="0" applyFont="1" applyBorder="1"/>
    <xf numFmtId="0" fontId="2" fillId="0" borderId="1" xfId="0" applyFont="1" applyBorder="1"/>
    <xf numFmtId="0" fontId="2" fillId="0" borderId="28" xfId="0" applyFont="1" applyBorder="1"/>
    <xf numFmtId="0" fontId="2" fillId="0" borderId="45" xfId="0" applyFont="1" applyBorder="1"/>
    <xf numFmtId="0" fontId="2" fillId="0" borderId="32" xfId="0" applyFont="1" applyBorder="1"/>
    <xf numFmtId="0" fontId="2" fillId="0" borderId="35" xfId="0" applyFont="1" applyBorder="1"/>
    <xf numFmtId="0" fontId="2" fillId="0" borderId="40" xfId="0" applyFont="1" applyBorder="1"/>
    <xf numFmtId="0" fontId="2" fillId="0" borderId="43" xfId="0" applyFont="1" applyBorder="1"/>
    <xf numFmtId="0" fontId="2" fillId="0" borderId="42" xfId="0" applyFont="1" applyBorder="1"/>
    <xf numFmtId="1" fontId="2" fillId="0" borderId="46" xfId="0" applyNumberFormat="1" applyFont="1" applyBorder="1"/>
    <xf numFmtId="1" fontId="2" fillId="0" borderId="47" xfId="0" applyNumberFormat="1" applyFont="1" applyBorder="1"/>
    <xf numFmtId="0" fontId="2" fillId="0" borderId="47" xfId="0" applyFont="1" applyBorder="1"/>
    <xf numFmtId="0" fontId="2" fillId="0" borderId="48" xfId="0" applyFont="1" applyBorder="1" applyAlignment="1"/>
    <xf numFmtId="0" fontId="2" fillId="0" borderId="0" xfId="0" applyFont="1" applyBorder="1" applyAlignment="1"/>
    <xf numFmtId="0" fontId="2" fillId="0" borderId="50" xfId="0" applyFont="1" applyBorder="1"/>
    <xf numFmtId="0" fontId="2" fillId="0" borderId="30" xfId="0" applyFont="1" applyBorder="1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/>
    <xf numFmtId="0" fontId="3" fillId="0" borderId="38" xfId="0" applyFont="1" applyBorder="1"/>
    <xf numFmtId="0" fontId="16" fillId="0" borderId="0" xfId="0" applyFont="1"/>
    <xf numFmtId="0" fontId="16" fillId="0" borderId="0" xfId="0" applyFont="1" applyBorder="1"/>
    <xf numFmtId="0" fontId="16" fillId="0" borderId="4" xfId="0" applyFont="1" applyBorder="1"/>
    <xf numFmtId="0" fontId="16" fillId="0" borderId="0" xfId="0" applyFont="1" applyFill="1"/>
    <xf numFmtId="0" fontId="2" fillId="2" borderId="41" xfId="0" applyFont="1" applyFill="1" applyBorder="1"/>
    <xf numFmtId="1" fontId="2" fillId="0" borderId="46" xfId="0" applyNumberFormat="1" applyFont="1" applyBorder="1" applyAlignment="1">
      <alignment horizontal="right"/>
    </xf>
    <xf numFmtId="1" fontId="2" fillId="0" borderId="47" xfId="0" applyNumberFormat="1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17" fillId="0" borderId="4" xfId="0" applyFont="1" applyBorder="1"/>
    <xf numFmtId="0" fontId="19" fillId="2" borderId="0" xfId="0" applyFont="1" applyFill="1"/>
    <xf numFmtId="0" fontId="18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0" fontId="16" fillId="2" borderId="0" xfId="0" applyFont="1" applyFill="1"/>
    <xf numFmtId="0" fontId="4" fillId="2" borderId="0" xfId="0" applyFont="1" applyFill="1"/>
    <xf numFmtId="0" fontId="14" fillId="2" borderId="0" xfId="1" applyFill="1" applyAlignment="1" applyProtection="1"/>
    <xf numFmtId="0" fontId="0" fillId="2" borderId="0" xfId="0" applyFill="1"/>
    <xf numFmtId="14" fontId="0" fillId="2" borderId="0" xfId="0" applyNumberFormat="1" applyFill="1"/>
    <xf numFmtId="0" fontId="2" fillId="2" borderId="0" xfId="0" applyFont="1" applyFill="1"/>
    <xf numFmtId="0" fontId="2" fillId="2" borderId="24" xfId="0" applyFont="1" applyFill="1" applyBorder="1"/>
    <xf numFmtId="0" fontId="2" fillId="2" borderId="25" xfId="0" applyFont="1" applyFill="1" applyBorder="1"/>
    <xf numFmtId="0" fontId="2" fillId="2" borderId="49" xfId="0" applyFont="1" applyFill="1" applyBorder="1" applyAlignment="1"/>
    <xf numFmtId="0" fontId="2" fillId="2" borderId="28" xfId="0" applyFont="1" applyFill="1" applyBorder="1"/>
    <xf numFmtId="0" fontId="2" fillId="2" borderId="34" xfId="0" applyFont="1" applyFill="1" applyBorder="1"/>
    <xf numFmtId="0" fontId="2" fillId="2" borderId="36" xfId="0" applyFont="1" applyFill="1" applyBorder="1"/>
    <xf numFmtId="0" fontId="2" fillId="2" borderId="39" xfId="0" applyFont="1" applyFill="1" applyBorder="1"/>
    <xf numFmtId="0" fontId="0" fillId="2" borderId="39" xfId="0" applyFill="1" applyBorder="1"/>
    <xf numFmtId="0" fontId="2" fillId="2" borderId="51" xfId="0" applyFont="1" applyFill="1" applyBorder="1"/>
    <xf numFmtId="0" fontId="2" fillId="2" borderId="52" xfId="0" applyFont="1" applyFill="1" applyBorder="1"/>
    <xf numFmtId="0" fontId="2" fillId="2" borderId="5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2" fillId="2" borderId="7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6" xfId="0" applyFont="1" applyFill="1" applyBorder="1"/>
    <xf numFmtId="0" fontId="4" fillId="2" borderId="0" xfId="0" applyFont="1" applyFill="1" applyAlignment="1">
      <alignment horizontal="left" wrapText="1" shrinkToFit="1"/>
    </xf>
    <xf numFmtId="0" fontId="4" fillId="2" borderId="11" xfId="0" applyFont="1" applyFill="1" applyBorder="1"/>
    <xf numFmtId="0" fontId="0" fillId="2" borderId="12" xfId="0" applyFill="1" applyBorder="1"/>
    <xf numFmtId="0" fontId="0" fillId="2" borderId="11" xfId="0" applyFill="1" applyBorder="1"/>
    <xf numFmtId="0" fontId="5" fillId="2" borderId="13" xfId="0" applyFont="1" applyFill="1" applyBorder="1"/>
    <xf numFmtId="0" fontId="4" fillId="2" borderId="9" xfId="0" applyFont="1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9" xfId="0" applyFill="1" applyBorder="1"/>
    <xf numFmtId="0" fontId="5" fillId="2" borderId="10" xfId="0" applyFont="1" applyFill="1" applyBorder="1"/>
    <xf numFmtId="0" fontId="0" fillId="6" borderId="1" xfId="0" applyFill="1" applyBorder="1"/>
    <xf numFmtId="0" fontId="0" fillId="6" borderId="0" xfId="0" applyFill="1" applyBorder="1"/>
    <xf numFmtId="0" fontId="0" fillId="6" borderId="10" xfId="0" applyFill="1" applyBorder="1"/>
    <xf numFmtId="0" fontId="0" fillId="6" borderId="9" xfId="0" applyFill="1" applyBorder="1"/>
    <xf numFmtId="0" fontId="5" fillId="6" borderId="10" xfId="0" applyFont="1" applyFill="1" applyBorder="1"/>
    <xf numFmtId="1" fontId="18" fillId="2" borderId="0" xfId="0" applyNumberFormat="1" applyFont="1" applyFill="1" applyBorder="1"/>
    <xf numFmtId="0" fontId="18" fillId="2" borderId="0" xfId="0" applyFont="1" applyFill="1" applyAlignment="1">
      <alignment horizontal="center"/>
    </xf>
    <xf numFmtId="0" fontId="0" fillId="2" borderId="0" xfId="0" applyFill="1" applyAlignment="1"/>
    <xf numFmtId="0" fontId="0" fillId="0" borderId="56" xfId="0" applyBorder="1"/>
    <xf numFmtId="0" fontId="2" fillId="2" borderId="57" xfId="0" applyFont="1" applyFill="1" applyBorder="1"/>
    <xf numFmtId="0" fontId="2" fillId="2" borderId="58" xfId="0" applyFont="1" applyFill="1" applyBorder="1"/>
    <xf numFmtId="0" fontId="2" fillId="2" borderId="59" xfId="0" applyFont="1" applyFill="1" applyBorder="1"/>
    <xf numFmtId="0" fontId="2" fillId="0" borderId="60" xfId="0" applyFont="1" applyFill="1" applyBorder="1"/>
    <xf numFmtId="0" fontId="2" fillId="0" borderId="61" xfId="0" applyFont="1" applyFill="1" applyBorder="1"/>
    <xf numFmtId="1" fontId="0" fillId="0" borderId="62" xfId="0" applyNumberFormat="1" applyBorder="1"/>
    <xf numFmtId="0" fontId="0" fillId="0" borderId="55" xfId="0" applyBorder="1"/>
    <xf numFmtId="0" fontId="17" fillId="0" borderId="0" xfId="0" applyFont="1"/>
    <xf numFmtId="1" fontId="2" fillId="0" borderId="63" xfId="0" applyNumberFormat="1" applyFont="1" applyBorder="1"/>
    <xf numFmtId="0" fontId="0" fillId="0" borderId="64" xfId="0" applyBorder="1"/>
    <xf numFmtId="0" fontId="2" fillId="2" borderId="0" xfId="0" applyFont="1" applyFill="1" applyAlignment="1"/>
    <xf numFmtId="0" fontId="2" fillId="0" borderId="0" xfId="0" applyFont="1" applyAlignment="1"/>
    <xf numFmtId="0" fontId="3" fillId="0" borderId="29" xfId="0" applyFont="1" applyBorder="1"/>
    <xf numFmtId="0" fontId="2" fillId="0" borderId="65" xfId="0" applyFont="1" applyBorder="1"/>
    <xf numFmtId="0" fontId="2" fillId="0" borderId="66" xfId="0" applyFont="1" applyBorder="1"/>
    <xf numFmtId="0" fontId="0" fillId="0" borderId="65" xfId="0" applyBorder="1"/>
    <xf numFmtId="0" fontId="2" fillId="2" borderId="0" xfId="0" applyFont="1" applyFill="1" applyAlignment="1"/>
    <xf numFmtId="0" fontId="0" fillId="0" borderId="0" xfId="0" applyAlignment="1"/>
    <xf numFmtId="0" fontId="2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2" fillId="0" borderId="17" xfId="0" applyFont="1" applyBorder="1" applyAlignment="1"/>
    <xf numFmtId="0" fontId="0" fillId="0" borderId="16" xfId="0" applyBorder="1" applyAlignment="1"/>
    <xf numFmtId="0" fontId="0" fillId="0" borderId="18" xfId="0" applyBorder="1" applyAlignment="1"/>
    <xf numFmtId="0" fontId="2" fillId="5" borderId="23" xfId="0" applyFont="1" applyFill="1" applyBorder="1" applyAlignment="1"/>
    <xf numFmtId="0" fontId="2" fillId="0" borderId="0" xfId="0" applyFont="1" applyAlignment="1"/>
    <xf numFmtId="0" fontId="22" fillId="0" borderId="53" xfId="0" applyFont="1" applyFill="1" applyBorder="1" applyAlignment="1"/>
    <xf numFmtId="0" fontId="22" fillId="0" borderId="54" xfId="0" applyFont="1" applyFill="1" applyBorder="1" applyAlignment="1"/>
    <xf numFmtId="0" fontId="2" fillId="0" borderId="55" xfId="0" applyFont="1" applyBorder="1"/>
    <xf numFmtId="0" fontId="2" fillId="0" borderId="5" xfId="0" applyFont="1" applyBorder="1" applyAlignment="1"/>
    <xf numFmtId="1" fontId="2" fillId="0" borderId="62" xfId="0" applyNumberFormat="1" applyFont="1" applyBorder="1"/>
    <xf numFmtId="1" fontId="2" fillId="0" borderId="0" xfId="0" applyNumberFormat="1" applyFont="1"/>
    <xf numFmtId="0" fontId="2" fillId="0" borderId="44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10" xfId="0" applyFont="1" applyFill="1" applyBorder="1"/>
    <xf numFmtId="0" fontId="2" fillId="2" borderId="10" xfId="0" applyFont="1" applyFill="1" applyBorder="1"/>
    <xf numFmtId="0" fontId="2" fillId="2" borderId="9" xfId="0" applyFont="1" applyFill="1" applyBorder="1"/>
    <xf numFmtId="0" fontId="2" fillId="6" borderId="1" xfId="0" applyFont="1" applyFill="1" applyBorder="1"/>
    <xf numFmtId="0" fontId="2" fillId="6" borderId="0" xfId="0" applyFont="1" applyFill="1" applyBorder="1"/>
    <xf numFmtId="0" fontId="2" fillId="6" borderId="10" xfId="0" applyFont="1" applyFill="1" applyBorder="1"/>
    <xf numFmtId="0" fontId="2" fillId="6" borderId="9" xfId="0" applyFont="1" applyFill="1" applyBorder="1"/>
    <xf numFmtId="0" fontId="2" fillId="0" borderId="4" xfId="0" applyFont="1" applyBorder="1"/>
    <xf numFmtId="0" fontId="2" fillId="2" borderId="12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3" fillId="0" borderId="64" xfId="0" applyFont="1" applyBorder="1"/>
    <xf numFmtId="0" fontId="7" fillId="0" borderId="67" xfId="0" applyFont="1" applyBorder="1"/>
    <xf numFmtId="0" fontId="22" fillId="0" borderId="68" xfId="0" applyFont="1" applyFill="1" applyBorder="1" applyAlignment="1"/>
    <xf numFmtId="0" fontId="22" fillId="0" borderId="69" xfId="0" applyFont="1" applyFill="1" applyBorder="1" applyAlignment="1"/>
    <xf numFmtId="0" fontId="7" fillId="0" borderId="70" xfId="0" applyFont="1" applyBorder="1"/>
    <xf numFmtId="0" fontId="2" fillId="0" borderId="71" xfId="0" applyFont="1" applyBorder="1"/>
    <xf numFmtId="0" fontId="2" fillId="0" borderId="72" xfId="0" applyFont="1" applyBorder="1"/>
    <xf numFmtId="0" fontId="2" fillId="0" borderId="73" xfId="0" applyFont="1" applyBorder="1"/>
    <xf numFmtId="0" fontId="4" fillId="0" borderId="74" xfId="0" applyFont="1" applyBorder="1"/>
    <xf numFmtId="0" fontId="0" fillId="0" borderId="72" xfId="0" applyBorder="1"/>
    <xf numFmtId="0" fontId="5" fillId="0" borderId="72" xfId="0" applyFont="1" applyFill="1" applyBorder="1"/>
    <xf numFmtId="0" fontId="2" fillId="0" borderId="74" xfId="0" applyFont="1" applyBorder="1" applyAlignment="1"/>
    <xf numFmtId="0" fontId="0" fillId="0" borderId="56" xfId="0" applyBorder="1" applyAlignment="1"/>
    <xf numFmtId="0" fontId="2" fillId="2" borderId="23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7" borderId="0" xfId="0" applyFill="1"/>
    <xf numFmtId="0" fontId="2" fillId="7" borderId="0" xfId="0" applyFont="1" applyFill="1"/>
    <xf numFmtId="0" fontId="2" fillId="0" borderId="75" xfId="0" applyFont="1" applyBorder="1"/>
    <xf numFmtId="0" fontId="3" fillId="0" borderId="0" xfId="0" applyFont="1"/>
    <xf numFmtId="0" fontId="3" fillId="0" borderId="0" xfId="0" applyFont="1" applyFill="1"/>
    <xf numFmtId="49" fontId="0" fillId="7" borderId="0" xfId="0" applyNumberFormat="1" applyFill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6600"/>
      <color rgb="FF41DB5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niksilenehopj.wz.cz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deniksilenehopj.wz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>
      <selection activeCell="Y23" sqref="Y23"/>
    </sheetView>
  </sheetViews>
  <sheetFormatPr defaultRowHeight="12.75"/>
  <cols>
    <col min="4" max="4" width="16.7109375" bestFit="1" customWidth="1"/>
  </cols>
  <sheetData>
    <row r="1" spans="1:16">
      <c r="A1" s="193"/>
      <c r="B1" s="193"/>
      <c r="C1" s="193"/>
      <c r="D1" s="194" t="s">
        <v>206</v>
      </c>
      <c r="E1" s="193"/>
      <c r="F1" s="198" t="s">
        <v>145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>
      <c r="A2" s="193"/>
      <c r="B2" s="4" t="s">
        <v>202</v>
      </c>
      <c r="P2" s="193"/>
    </row>
    <row r="3" spans="1:16">
      <c r="A3" s="193"/>
      <c r="B3" s="4" t="s">
        <v>203</v>
      </c>
    </row>
    <row r="4" spans="1:16">
      <c r="A4" s="193"/>
      <c r="P4" s="193"/>
    </row>
    <row r="5" spans="1:16">
      <c r="A5" s="193"/>
      <c r="B5" s="4" t="s">
        <v>204</v>
      </c>
    </row>
    <row r="6" spans="1:16">
      <c r="A6" s="193"/>
      <c r="P6" s="193"/>
    </row>
    <row r="7" spans="1:16">
      <c r="A7" s="193"/>
      <c r="B7" s="191" t="s">
        <v>205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>
      <c r="A8" s="193"/>
      <c r="B8" s="192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</row>
    <row r="9" spans="1:16">
      <c r="A9" s="193"/>
      <c r="P9" s="193"/>
    </row>
    <row r="10" spans="1:16" ht="13.5" thickBot="1">
      <c r="A10" s="193"/>
      <c r="C10" s="6"/>
      <c r="D10" s="183"/>
      <c r="E10" s="183" t="s">
        <v>161</v>
      </c>
      <c r="F10" s="183" t="s">
        <v>162</v>
      </c>
      <c r="G10" s="183" t="s">
        <v>163</v>
      </c>
      <c r="H10" s="183" t="s">
        <v>164</v>
      </c>
      <c r="I10" s="183" t="s">
        <v>165</v>
      </c>
      <c r="J10" s="183" t="s">
        <v>166</v>
      </c>
      <c r="K10" s="183" t="s">
        <v>167</v>
      </c>
      <c r="L10" s="183" t="s">
        <v>13</v>
      </c>
      <c r="M10" s="183" t="s">
        <v>168</v>
      </c>
      <c r="P10" s="193"/>
    </row>
    <row r="11" spans="1:16">
      <c r="A11" s="193"/>
      <c r="C11" s="6">
        <v>1</v>
      </c>
      <c r="D11" s="4" t="s">
        <v>29</v>
      </c>
      <c r="E11" s="6">
        <v>0</v>
      </c>
      <c r="F11" s="6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165</v>
      </c>
      <c r="M11" s="4" t="s">
        <v>184</v>
      </c>
      <c r="P11" s="193"/>
    </row>
    <row r="12" spans="1:16">
      <c r="A12" s="193"/>
      <c r="C12" s="4">
        <v>2</v>
      </c>
      <c r="D12" s="4" t="s">
        <v>31</v>
      </c>
      <c r="E12" s="4">
        <v>-1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-1</v>
      </c>
      <c r="L12" s="4">
        <v>155</v>
      </c>
      <c r="M12" s="4" t="s">
        <v>185</v>
      </c>
      <c r="P12" s="193"/>
    </row>
    <row r="13" spans="1:16">
      <c r="A13" s="193"/>
      <c r="C13" s="4">
        <v>3</v>
      </c>
      <c r="D13" s="4" t="s">
        <v>32</v>
      </c>
      <c r="E13" s="4">
        <v>1</v>
      </c>
      <c r="F13" s="4">
        <v>0</v>
      </c>
      <c r="G13" s="4">
        <v>0</v>
      </c>
      <c r="H13" s="4">
        <v>1</v>
      </c>
      <c r="I13" s="4">
        <v>-1</v>
      </c>
      <c r="J13" s="4">
        <v>-1</v>
      </c>
      <c r="K13" s="4">
        <v>0</v>
      </c>
      <c r="L13" s="4">
        <v>170</v>
      </c>
      <c r="M13" s="4" t="s">
        <v>186</v>
      </c>
      <c r="P13" s="193"/>
    </row>
    <row r="14" spans="1:16">
      <c r="A14" s="193"/>
      <c r="C14" s="4">
        <v>4</v>
      </c>
      <c r="D14" s="4" t="s">
        <v>33</v>
      </c>
      <c r="E14" s="4">
        <v>0</v>
      </c>
      <c r="F14" s="4">
        <v>0</v>
      </c>
      <c r="G14" s="4">
        <v>0</v>
      </c>
      <c r="H14" s="4">
        <v>1</v>
      </c>
      <c r="I14" s="4">
        <v>-1</v>
      </c>
      <c r="J14" s="4">
        <v>0</v>
      </c>
      <c r="K14" s="4">
        <v>-1</v>
      </c>
      <c r="L14" s="4">
        <v>158</v>
      </c>
      <c r="M14" s="4" t="s">
        <v>187</v>
      </c>
      <c r="P14" s="193"/>
    </row>
    <row r="15" spans="1:16">
      <c r="A15" s="193"/>
      <c r="C15" s="6">
        <v>5</v>
      </c>
      <c r="D15" s="4" t="s">
        <v>182</v>
      </c>
      <c r="E15" s="4">
        <v>0</v>
      </c>
      <c r="F15" s="4">
        <v>1</v>
      </c>
      <c r="G15" s="4">
        <v>1</v>
      </c>
      <c r="H15" s="4">
        <v>0</v>
      </c>
      <c r="I15" s="4">
        <v>-2</v>
      </c>
      <c r="J15" s="4">
        <v>0</v>
      </c>
      <c r="K15" s="4">
        <v>0</v>
      </c>
      <c r="L15" s="4">
        <v>180</v>
      </c>
      <c r="M15" s="4" t="s">
        <v>188</v>
      </c>
      <c r="P15" s="193"/>
    </row>
    <row r="16" spans="1:16">
      <c r="A16" s="193"/>
      <c r="C16" s="4">
        <v>6</v>
      </c>
      <c r="D16" s="195" t="s">
        <v>183</v>
      </c>
      <c r="E16" s="195">
        <v>-1</v>
      </c>
      <c r="F16" s="195">
        <v>1</v>
      </c>
      <c r="G16" s="195">
        <v>1</v>
      </c>
      <c r="H16" s="195">
        <v>0</v>
      </c>
      <c r="I16" s="195">
        <v>-2</v>
      </c>
      <c r="J16" s="195">
        <v>1</v>
      </c>
      <c r="K16" s="195">
        <v>-1</v>
      </c>
      <c r="L16" s="195">
        <v>170</v>
      </c>
      <c r="M16" s="195" t="s">
        <v>189</v>
      </c>
      <c r="P16" s="193"/>
    </row>
    <row r="17" spans="1:16">
      <c r="A17" s="193"/>
      <c r="C17" s="4">
        <v>7</v>
      </c>
      <c r="D17" s="4" t="s">
        <v>30</v>
      </c>
      <c r="E17" s="4">
        <v>2</v>
      </c>
      <c r="F17" s="4">
        <v>1</v>
      </c>
      <c r="G17" s="4">
        <v>-1</v>
      </c>
      <c r="H17" s="4">
        <v>1</v>
      </c>
      <c r="I17" s="4">
        <v>-1</v>
      </c>
      <c r="J17" s="4">
        <v>-2</v>
      </c>
      <c r="K17" s="4">
        <v>2</v>
      </c>
      <c r="L17" s="4">
        <v>190</v>
      </c>
      <c r="M17" s="4" t="s">
        <v>190</v>
      </c>
      <c r="P17" s="193"/>
    </row>
    <row r="18" spans="1:16">
      <c r="A18" s="193"/>
      <c r="C18" s="4">
        <v>8</v>
      </c>
      <c r="D18" s="195" t="s">
        <v>34</v>
      </c>
      <c r="E18" s="195">
        <v>1</v>
      </c>
      <c r="F18" s="195">
        <v>2</v>
      </c>
      <c r="G18" s="195">
        <v>-1</v>
      </c>
      <c r="H18" s="195">
        <v>0</v>
      </c>
      <c r="I18" s="195">
        <v>-1</v>
      </c>
      <c r="J18" s="195">
        <v>-1</v>
      </c>
      <c r="K18" s="195">
        <v>1</v>
      </c>
      <c r="L18" s="195">
        <v>185</v>
      </c>
      <c r="M18" s="195" t="s">
        <v>186</v>
      </c>
      <c r="P18" s="193"/>
    </row>
    <row r="19" spans="1:16">
      <c r="A19" s="193"/>
      <c r="C19" s="6">
        <v>9</v>
      </c>
      <c r="D19" s="4" t="s">
        <v>158</v>
      </c>
      <c r="E19" s="4">
        <v>-1</v>
      </c>
      <c r="F19" s="4">
        <v>1</v>
      </c>
      <c r="G19" s="4">
        <v>1</v>
      </c>
      <c r="H19" s="4">
        <v>-2</v>
      </c>
      <c r="I19" s="4">
        <v>1</v>
      </c>
      <c r="J19" s="4">
        <v>1</v>
      </c>
      <c r="K19" s="4">
        <v>-1</v>
      </c>
      <c r="L19" s="4">
        <v>180</v>
      </c>
      <c r="M19" s="4">
        <v>60</v>
      </c>
      <c r="P19" s="193"/>
    </row>
    <row r="20" spans="1:16">
      <c r="A20" s="193"/>
      <c r="C20" s="4">
        <v>10</v>
      </c>
      <c r="D20" s="4" t="s">
        <v>159</v>
      </c>
      <c r="E20" s="4">
        <v>-2</v>
      </c>
      <c r="F20" s="4">
        <v>1</v>
      </c>
      <c r="G20" s="4">
        <v>2</v>
      </c>
      <c r="H20" s="4">
        <v>-2</v>
      </c>
      <c r="I20" s="4">
        <v>0</v>
      </c>
      <c r="J20" s="4">
        <v>2</v>
      </c>
      <c r="K20" s="4">
        <v>-2</v>
      </c>
      <c r="L20" s="4">
        <v>175</v>
      </c>
      <c r="M20" s="4">
        <v>55</v>
      </c>
      <c r="P20" s="193"/>
    </row>
    <row r="21" spans="1:16">
      <c r="A21" s="193"/>
      <c r="C21" s="4">
        <v>11</v>
      </c>
      <c r="D21" s="4" t="s">
        <v>160</v>
      </c>
      <c r="E21" s="4">
        <v>-1</v>
      </c>
      <c r="F21" s="4">
        <v>1</v>
      </c>
      <c r="G21" s="4">
        <v>0</v>
      </c>
      <c r="H21" s="4">
        <v>-1</v>
      </c>
      <c r="I21" s="4">
        <v>1</v>
      </c>
      <c r="J21" s="4">
        <v>1</v>
      </c>
      <c r="K21" s="4">
        <v>-1</v>
      </c>
      <c r="L21" s="4">
        <v>180</v>
      </c>
      <c r="M21" s="4">
        <v>60</v>
      </c>
      <c r="P21" s="193"/>
    </row>
    <row r="22" spans="1:16">
      <c r="A22" s="193"/>
      <c r="C22" s="4">
        <v>12</v>
      </c>
      <c r="D22" s="4" t="s">
        <v>169</v>
      </c>
      <c r="E22" s="4">
        <v>-2</v>
      </c>
      <c r="F22" s="4">
        <v>1</v>
      </c>
      <c r="G22" s="4">
        <v>1</v>
      </c>
      <c r="H22" s="4">
        <v>-1</v>
      </c>
      <c r="I22" s="4">
        <v>0</v>
      </c>
      <c r="J22" s="4">
        <v>2</v>
      </c>
      <c r="K22" s="4">
        <v>-2</v>
      </c>
      <c r="L22" s="4">
        <v>175</v>
      </c>
      <c r="M22" s="4">
        <v>55</v>
      </c>
      <c r="P22" s="193"/>
    </row>
    <row r="23" spans="1:16">
      <c r="A23" s="193"/>
      <c r="C23" s="6">
        <v>13</v>
      </c>
      <c r="D23" s="4" t="s">
        <v>170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-1</v>
      </c>
      <c r="L23" s="4">
        <v>180</v>
      </c>
      <c r="M23" s="4">
        <v>60</v>
      </c>
      <c r="P23" s="193"/>
    </row>
    <row r="24" spans="1:16">
      <c r="A24" s="193"/>
      <c r="C24" s="4">
        <v>14</v>
      </c>
      <c r="D24" s="4" t="s">
        <v>171</v>
      </c>
      <c r="E24" s="4">
        <v>-1</v>
      </c>
      <c r="F24" s="4">
        <v>0</v>
      </c>
      <c r="G24" s="4">
        <v>1</v>
      </c>
      <c r="H24" s="4">
        <v>0</v>
      </c>
      <c r="I24" s="4">
        <v>0</v>
      </c>
      <c r="J24" s="4">
        <v>1</v>
      </c>
      <c r="K24" s="4">
        <v>-2</v>
      </c>
      <c r="L24" s="4">
        <v>175</v>
      </c>
      <c r="M24" s="4">
        <v>55</v>
      </c>
      <c r="P24" s="193"/>
    </row>
    <row r="25" spans="1:16">
      <c r="A25" s="193"/>
      <c r="C25" s="4">
        <v>15</v>
      </c>
      <c r="D25" s="4" t="s">
        <v>172</v>
      </c>
      <c r="E25" s="4">
        <v>-1</v>
      </c>
      <c r="F25" s="4">
        <v>2</v>
      </c>
      <c r="G25" s="4">
        <v>0</v>
      </c>
      <c r="H25" s="4">
        <v>-1</v>
      </c>
      <c r="I25" s="4">
        <v>1</v>
      </c>
      <c r="J25" s="4">
        <v>0</v>
      </c>
      <c r="K25" s="4">
        <v>-1</v>
      </c>
      <c r="L25" s="4">
        <v>180</v>
      </c>
      <c r="M25" s="4">
        <v>60</v>
      </c>
      <c r="P25" s="193"/>
    </row>
    <row r="26" spans="1:16">
      <c r="A26" s="193"/>
      <c r="C26" s="4">
        <v>16</v>
      </c>
      <c r="D26" s="195" t="s">
        <v>173</v>
      </c>
      <c r="E26" s="195">
        <v>-2</v>
      </c>
      <c r="F26" s="195">
        <v>2</v>
      </c>
      <c r="G26" s="195">
        <v>1</v>
      </c>
      <c r="H26" s="195">
        <v>-1</v>
      </c>
      <c r="I26" s="195">
        <v>0</v>
      </c>
      <c r="J26" s="195">
        <v>1</v>
      </c>
      <c r="K26" s="195">
        <v>-2</v>
      </c>
      <c r="L26" s="195">
        <v>175</v>
      </c>
      <c r="M26" s="195">
        <v>55</v>
      </c>
      <c r="P26" s="193"/>
    </row>
    <row r="27" spans="1:16">
      <c r="A27" s="193"/>
      <c r="C27" s="6">
        <v>17</v>
      </c>
      <c r="D27" s="4" t="s">
        <v>43</v>
      </c>
      <c r="E27" s="4">
        <v>1</v>
      </c>
      <c r="F27" s="4">
        <v>-1</v>
      </c>
      <c r="G27" s="4">
        <v>0</v>
      </c>
      <c r="H27" s="4">
        <v>2</v>
      </c>
      <c r="I27" s="4">
        <v>-1</v>
      </c>
      <c r="J27" s="4">
        <v>-2</v>
      </c>
      <c r="K27" s="4">
        <v>0</v>
      </c>
      <c r="L27" s="4">
        <v>140</v>
      </c>
      <c r="M27" s="4">
        <v>70</v>
      </c>
      <c r="P27" s="193"/>
    </row>
    <row r="28" spans="1:16">
      <c r="A28" s="193"/>
      <c r="C28" s="4">
        <v>18</v>
      </c>
      <c r="D28" s="4" t="s">
        <v>44</v>
      </c>
      <c r="E28" s="4">
        <v>1</v>
      </c>
      <c r="F28" s="4">
        <v>-1</v>
      </c>
      <c r="G28" s="4">
        <v>-1</v>
      </c>
      <c r="H28" s="4">
        <v>2</v>
      </c>
      <c r="I28" s="4">
        <v>0</v>
      </c>
      <c r="J28" s="4">
        <v>-2</v>
      </c>
      <c r="K28" s="4">
        <v>0</v>
      </c>
      <c r="L28" s="4">
        <v>140</v>
      </c>
      <c r="M28" s="4">
        <v>70</v>
      </c>
      <c r="P28" s="193"/>
    </row>
    <row r="29" spans="1:16">
      <c r="A29" s="193"/>
      <c r="C29" s="4">
        <v>19</v>
      </c>
      <c r="D29" s="4" t="s">
        <v>174</v>
      </c>
      <c r="E29" s="4">
        <v>1</v>
      </c>
      <c r="F29" s="4">
        <v>-1</v>
      </c>
      <c r="G29" s="4">
        <v>0</v>
      </c>
      <c r="H29" s="4">
        <v>1</v>
      </c>
      <c r="I29" s="4">
        <v>-1</v>
      </c>
      <c r="J29" s="4">
        <v>-1</v>
      </c>
      <c r="K29" s="4">
        <v>0</v>
      </c>
      <c r="L29" s="4">
        <v>140</v>
      </c>
      <c r="M29" s="4">
        <v>70</v>
      </c>
      <c r="P29" s="193"/>
    </row>
    <row r="30" spans="1:16">
      <c r="A30" s="193"/>
      <c r="C30" s="4">
        <v>20</v>
      </c>
      <c r="D30" s="4" t="s">
        <v>175</v>
      </c>
      <c r="E30" s="4">
        <v>1</v>
      </c>
      <c r="F30" s="4">
        <v>-1</v>
      </c>
      <c r="G30" s="4">
        <v>-1</v>
      </c>
      <c r="H30" s="4">
        <v>1</v>
      </c>
      <c r="I30" s="4">
        <v>0</v>
      </c>
      <c r="J30" s="4">
        <v>-1</v>
      </c>
      <c r="K30" s="4">
        <v>0</v>
      </c>
      <c r="L30" s="4">
        <v>140</v>
      </c>
      <c r="M30" s="4">
        <v>70</v>
      </c>
      <c r="P30" s="193"/>
    </row>
    <row r="31" spans="1:16">
      <c r="A31" s="193"/>
      <c r="C31" s="6">
        <v>21</v>
      </c>
      <c r="D31" s="4" t="s">
        <v>176</v>
      </c>
      <c r="E31" s="4">
        <v>2</v>
      </c>
      <c r="F31" s="4">
        <v>-1</v>
      </c>
      <c r="G31" s="4">
        <v>0</v>
      </c>
      <c r="H31" s="4">
        <v>2</v>
      </c>
      <c r="I31" s="4">
        <v>-2</v>
      </c>
      <c r="J31" s="4">
        <v>-2</v>
      </c>
      <c r="K31" s="4">
        <v>0</v>
      </c>
      <c r="L31" s="4">
        <v>140</v>
      </c>
      <c r="M31" s="4">
        <v>70</v>
      </c>
      <c r="P31" s="193"/>
    </row>
    <row r="32" spans="1:16">
      <c r="A32" s="193"/>
      <c r="C32" s="4">
        <v>22</v>
      </c>
      <c r="D32" s="195" t="s">
        <v>177</v>
      </c>
      <c r="E32" s="195">
        <v>2</v>
      </c>
      <c r="F32" s="195">
        <v>-1</v>
      </c>
      <c r="G32" s="195">
        <v>-1</v>
      </c>
      <c r="H32" s="195">
        <v>2</v>
      </c>
      <c r="I32" s="195">
        <v>-1</v>
      </c>
      <c r="J32" s="195">
        <v>-2</v>
      </c>
      <c r="K32" s="195">
        <v>0</v>
      </c>
      <c r="L32" s="195">
        <v>140</v>
      </c>
      <c r="M32" s="195">
        <v>70</v>
      </c>
      <c r="P32" s="193"/>
    </row>
    <row r="33" spans="1:16">
      <c r="A33" s="193"/>
      <c r="C33" s="4">
        <v>23</v>
      </c>
      <c r="D33" s="4" t="s">
        <v>28</v>
      </c>
      <c r="E33" s="4">
        <v>-3</v>
      </c>
      <c r="F33" s="4">
        <v>1</v>
      </c>
      <c r="G33" s="4">
        <v>1</v>
      </c>
      <c r="H33" s="4">
        <v>0</v>
      </c>
      <c r="I33" s="4">
        <v>-1</v>
      </c>
      <c r="J33" s="4">
        <v>2</v>
      </c>
      <c r="K33" s="4">
        <v>-2</v>
      </c>
      <c r="L33" s="4">
        <v>110</v>
      </c>
      <c r="M33" s="4">
        <v>40</v>
      </c>
      <c r="P33" s="193"/>
    </row>
    <row r="34" spans="1:16">
      <c r="A34" s="193"/>
      <c r="C34" s="4">
        <v>24</v>
      </c>
      <c r="D34" s="195" t="s">
        <v>50</v>
      </c>
      <c r="E34" s="195">
        <v>-4</v>
      </c>
      <c r="F34" s="195">
        <v>2</v>
      </c>
      <c r="G34" s="195">
        <v>0</v>
      </c>
      <c r="H34" s="195">
        <v>0</v>
      </c>
      <c r="I34" s="195">
        <v>-1</v>
      </c>
      <c r="J34" s="195">
        <v>3</v>
      </c>
      <c r="K34" s="195">
        <v>-3</v>
      </c>
      <c r="L34" s="195">
        <v>110</v>
      </c>
      <c r="M34" s="195">
        <v>40</v>
      </c>
      <c r="P34" s="193"/>
    </row>
    <row r="35" spans="1:16">
      <c r="A35" s="193"/>
      <c r="C35" s="6">
        <v>25</v>
      </c>
      <c r="D35" s="4" t="s">
        <v>178</v>
      </c>
      <c r="E35" s="4">
        <v>3</v>
      </c>
      <c r="F35" s="4">
        <v>-2</v>
      </c>
      <c r="G35" s="4">
        <v>-1</v>
      </c>
      <c r="H35" s="4">
        <v>1</v>
      </c>
      <c r="I35" s="4">
        <v>-3</v>
      </c>
      <c r="J35" s="4">
        <v>-1</v>
      </c>
      <c r="K35" s="4">
        <v>3</v>
      </c>
      <c r="L35" s="4">
        <v>230</v>
      </c>
      <c r="M35" s="4">
        <v>135</v>
      </c>
      <c r="P35" s="193"/>
    </row>
    <row r="36" spans="1:16">
      <c r="A36" s="193"/>
      <c r="C36" s="4">
        <v>26</v>
      </c>
      <c r="D36" s="4" t="s">
        <v>179</v>
      </c>
      <c r="E36" s="4">
        <v>2</v>
      </c>
      <c r="F36" s="4">
        <v>-1</v>
      </c>
      <c r="G36" s="4">
        <v>-1</v>
      </c>
      <c r="H36" s="4">
        <v>0</v>
      </c>
      <c r="I36" s="4">
        <v>-3</v>
      </c>
      <c r="J36" s="4">
        <v>0</v>
      </c>
      <c r="K36" s="4">
        <v>2</v>
      </c>
      <c r="L36" s="4"/>
      <c r="M36" s="4"/>
      <c r="P36" s="193"/>
    </row>
    <row r="37" spans="1:16">
      <c r="A37" s="193"/>
      <c r="C37" s="4">
        <v>27</v>
      </c>
      <c r="D37" s="4" t="s">
        <v>52</v>
      </c>
      <c r="E37" s="4">
        <v>3</v>
      </c>
      <c r="F37" s="4">
        <v>-1</v>
      </c>
      <c r="G37" s="4">
        <v>-2</v>
      </c>
      <c r="H37" s="4">
        <v>2</v>
      </c>
      <c r="I37" s="4">
        <v>-3</v>
      </c>
      <c r="J37" s="4">
        <v>-2</v>
      </c>
      <c r="K37" s="4">
        <v>3</v>
      </c>
      <c r="L37" s="4">
        <v>245</v>
      </c>
      <c r="M37" s="4">
        <v>145</v>
      </c>
      <c r="P37" s="193"/>
    </row>
    <row r="38" spans="1:16">
      <c r="A38" s="193"/>
      <c r="C38" s="4">
        <v>28</v>
      </c>
      <c r="D38" s="4" t="s">
        <v>53</v>
      </c>
      <c r="E38" s="4">
        <v>2</v>
      </c>
      <c r="F38" s="4">
        <v>0</v>
      </c>
      <c r="G38" s="4">
        <v>-2</v>
      </c>
      <c r="H38" s="4">
        <v>1</v>
      </c>
      <c r="I38" s="4">
        <v>-3</v>
      </c>
      <c r="J38" s="4">
        <v>-1</v>
      </c>
      <c r="K38" s="4">
        <v>2</v>
      </c>
      <c r="L38" s="4"/>
      <c r="M38" s="4"/>
      <c r="P38" s="193"/>
    </row>
    <row r="39" spans="1:16">
      <c r="A39" s="193"/>
      <c r="C39" s="6">
        <v>29</v>
      </c>
      <c r="D39" s="4" t="s">
        <v>180</v>
      </c>
      <c r="E39" s="4">
        <v>3</v>
      </c>
      <c r="F39" s="4">
        <v>-1</v>
      </c>
      <c r="G39" s="4">
        <v>-1</v>
      </c>
      <c r="H39" s="4">
        <v>1</v>
      </c>
      <c r="I39" s="4">
        <v>-3</v>
      </c>
      <c r="J39" s="4">
        <v>-2</v>
      </c>
      <c r="K39" s="4">
        <v>3</v>
      </c>
      <c r="L39" s="4">
        <v>235</v>
      </c>
      <c r="M39" s="4">
        <v>130</v>
      </c>
      <c r="P39" s="193"/>
    </row>
    <row r="40" spans="1:16">
      <c r="A40" s="193"/>
      <c r="C40" s="4">
        <v>30</v>
      </c>
      <c r="D40" s="195" t="s">
        <v>181</v>
      </c>
      <c r="E40" s="195">
        <v>2</v>
      </c>
      <c r="F40" s="195">
        <v>0</v>
      </c>
      <c r="G40" s="195">
        <v>-1</v>
      </c>
      <c r="H40" s="195">
        <v>0</v>
      </c>
      <c r="I40" s="195">
        <v>-3</v>
      </c>
      <c r="J40" s="195">
        <v>-1</v>
      </c>
      <c r="K40" s="195">
        <v>2</v>
      </c>
      <c r="L40" s="195"/>
      <c r="M40" s="195"/>
      <c r="P40" s="193"/>
    </row>
    <row r="41" spans="1:16">
      <c r="A41" s="193"/>
      <c r="C41" s="4">
        <v>31</v>
      </c>
      <c r="D41" s="4" t="s">
        <v>26</v>
      </c>
      <c r="E41" s="4">
        <v>0</v>
      </c>
      <c r="F41" s="4">
        <v>2</v>
      </c>
      <c r="G41" s="4">
        <v>0</v>
      </c>
      <c r="H41" s="4">
        <v>-1</v>
      </c>
      <c r="I41" s="4">
        <v>0</v>
      </c>
      <c r="J41" s="4">
        <v>-2</v>
      </c>
      <c r="K41" s="4">
        <v>-1</v>
      </c>
      <c r="L41" s="4">
        <v>160</v>
      </c>
      <c r="M41" s="4">
        <v>60</v>
      </c>
      <c r="P41" s="193"/>
    </row>
    <row r="42" spans="1:16">
      <c r="A42" s="193"/>
      <c r="C42" s="4">
        <v>32</v>
      </c>
      <c r="D42" s="4" t="s">
        <v>45</v>
      </c>
      <c r="E42" s="4">
        <v>-1</v>
      </c>
      <c r="F42" s="4">
        <v>2</v>
      </c>
      <c r="G42" s="4">
        <v>0</v>
      </c>
      <c r="H42" s="4">
        <v>0</v>
      </c>
      <c r="I42" s="4">
        <v>0</v>
      </c>
      <c r="J42" s="4">
        <v>-2</v>
      </c>
      <c r="K42" s="4">
        <v>-2</v>
      </c>
      <c r="L42" s="4"/>
      <c r="M42" s="4"/>
      <c r="P42" s="193"/>
    </row>
    <row r="43" spans="1:16">
      <c r="A43" s="193"/>
      <c r="C43" s="6">
        <v>33</v>
      </c>
      <c r="D43" s="4" t="s">
        <v>46</v>
      </c>
      <c r="E43" s="4">
        <v>1</v>
      </c>
      <c r="F43" s="4">
        <v>1</v>
      </c>
      <c r="G43" s="4">
        <v>-1</v>
      </c>
      <c r="H43" s="4">
        <v>0</v>
      </c>
      <c r="I43" s="4">
        <v>0</v>
      </c>
      <c r="J43" s="4">
        <v>-2</v>
      </c>
      <c r="K43" s="4">
        <v>1</v>
      </c>
      <c r="L43" s="4">
        <v>180</v>
      </c>
      <c r="M43" s="4">
        <v>90</v>
      </c>
      <c r="P43" s="193"/>
    </row>
    <row r="44" spans="1:16">
      <c r="A44" s="193"/>
      <c r="C44" s="4">
        <v>34</v>
      </c>
      <c r="D44" s="4" t="s">
        <v>47</v>
      </c>
      <c r="E44" s="4">
        <v>0</v>
      </c>
      <c r="F44" s="4">
        <v>1</v>
      </c>
      <c r="G44" s="4">
        <v>-1</v>
      </c>
      <c r="H44" s="4">
        <v>1</v>
      </c>
      <c r="I44" s="4">
        <v>0</v>
      </c>
      <c r="J44" s="4">
        <v>-2</v>
      </c>
      <c r="K44" s="4">
        <v>0</v>
      </c>
      <c r="L44" s="4"/>
      <c r="M44" s="4"/>
      <c r="P44" s="193"/>
    </row>
    <row r="45" spans="1:16">
      <c r="A45" s="193"/>
      <c r="C45" s="4">
        <v>35</v>
      </c>
      <c r="D45" s="4" t="s">
        <v>48</v>
      </c>
      <c r="E45" s="4">
        <v>-1</v>
      </c>
      <c r="F45" s="4">
        <v>2</v>
      </c>
      <c r="G45" s="4">
        <v>1</v>
      </c>
      <c r="H45" s="4">
        <v>-2</v>
      </c>
      <c r="I45" s="4">
        <v>0</v>
      </c>
      <c r="J45" s="4">
        <v>-1</v>
      </c>
      <c r="K45" s="4">
        <v>-1</v>
      </c>
      <c r="L45" s="4">
        <v>150</v>
      </c>
      <c r="M45" s="4">
        <v>55</v>
      </c>
      <c r="P45" s="193"/>
    </row>
    <row r="46" spans="1:16">
      <c r="A46" s="193"/>
      <c r="C46" s="4">
        <v>36</v>
      </c>
      <c r="D46" s="195" t="s">
        <v>49</v>
      </c>
      <c r="E46" s="195">
        <v>-2</v>
      </c>
      <c r="F46" s="195">
        <v>2</v>
      </c>
      <c r="G46" s="195">
        <v>1</v>
      </c>
      <c r="H46" s="195">
        <v>-1</v>
      </c>
      <c r="I46" s="195">
        <v>0</v>
      </c>
      <c r="J46" s="195">
        <v>-1</v>
      </c>
      <c r="K46" s="195">
        <v>-2</v>
      </c>
      <c r="L46" s="195"/>
      <c r="M46" s="195"/>
      <c r="P46" s="193"/>
    </row>
    <row r="47" spans="1:16">
      <c r="A47" s="193"/>
      <c r="C47" s="6">
        <v>37</v>
      </c>
      <c r="D47" s="4" t="s">
        <v>154</v>
      </c>
      <c r="E47" s="4">
        <v>-2</v>
      </c>
      <c r="F47" s="4">
        <v>0</v>
      </c>
      <c r="G47" s="4">
        <v>2</v>
      </c>
      <c r="H47" s="4">
        <v>0</v>
      </c>
      <c r="I47" s="4">
        <v>0</v>
      </c>
      <c r="J47" s="4">
        <v>0</v>
      </c>
      <c r="K47" s="4">
        <v>-3</v>
      </c>
      <c r="L47" s="4">
        <v>115</v>
      </c>
      <c r="M47" s="4">
        <v>35</v>
      </c>
      <c r="P47" s="193"/>
    </row>
    <row r="48" spans="1:16">
      <c r="A48" s="193"/>
      <c r="C48" s="4">
        <v>38</v>
      </c>
      <c r="D48" s="4" t="s">
        <v>155</v>
      </c>
      <c r="E48" s="4">
        <v>-3</v>
      </c>
      <c r="F48" s="4">
        <v>1</v>
      </c>
      <c r="G48" s="4">
        <v>2</v>
      </c>
      <c r="H48" s="4">
        <v>-1</v>
      </c>
      <c r="I48" s="4">
        <v>0</v>
      </c>
      <c r="J48" s="4">
        <v>1</v>
      </c>
      <c r="K48" s="4">
        <v>-4</v>
      </c>
      <c r="L48" s="4"/>
      <c r="M48" s="4"/>
      <c r="P48" s="193"/>
    </row>
    <row r="49" spans="1:16">
      <c r="A49" s="193"/>
      <c r="C49" s="4">
        <v>39</v>
      </c>
      <c r="D49" s="4" t="s">
        <v>156</v>
      </c>
      <c r="E49" s="4">
        <v>-3</v>
      </c>
      <c r="F49" s="4">
        <v>0</v>
      </c>
      <c r="G49" s="4">
        <v>2</v>
      </c>
      <c r="H49" s="4">
        <v>1</v>
      </c>
      <c r="I49" s="4">
        <v>0</v>
      </c>
      <c r="J49" s="4">
        <v>-1</v>
      </c>
      <c r="K49" s="4">
        <v>-3</v>
      </c>
      <c r="L49" s="4">
        <v>115</v>
      </c>
      <c r="M49" s="4">
        <v>35</v>
      </c>
      <c r="P49" s="193"/>
    </row>
    <row r="50" spans="1:16" ht="13.5" thickBot="1">
      <c r="A50" s="193"/>
      <c r="C50" s="183">
        <v>40</v>
      </c>
      <c r="D50" s="183" t="s">
        <v>157</v>
      </c>
      <c r="E50" s="183">
        <v>-4</v>
      </c>
      <c r="F50" s="183">
        <v>1</v>
      </c>
      <c r="G50" s="183">
        <v>2</v>
      </c>
      <c r="H50" s="183">
        <v>0</v>
      </c>
      <c r="I50" s="183">
        <v>0</v>
      </c>
      <c r="J50" s="183">
        <v>0</v>
      </c>
      <c r="K50" s="183">
        <v>-4</v>
      </c>
      <c r="L50" s="183"/>
      <c r="M50" s="183"/>
      <c r="P50" s="193"/>
    </row>
    <row r="51" spans="1:16">
      <c r="A51" s="193"/>
      <c r="P51" s="193"/>
    </row>
    <row r="52" spans="1:16">
      <c r="A52" s="193"/>
      <c r="P52" s="193"/>
    </row>
    <row r="53" spans="1:16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</row>
    <row r="54" spans="1:16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</row>
  </sheetData>
  <mergeCells count="1">
    <mergeCell ref="B7:P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9"/>
  <sheetViews>
    <sheetView workbookViewId="0">
      <selection activeCell="C4" sqref="C4"/>
    </sheetView>
  </sheetViews>
  <sheetFormatPr defaultRowHeight="12.75"/>
  <cols>
    <col min="1" max="1" width="17.42578125" customWidth="1"/>
    <col min="2" max="2" width="17.85546875" customWidth="1"/>
    <col min="3" max="3" width="12.85546875" customWidth="1"/>
    <col min="4" max="4" width="14.5703125" customWidth="1"/>
    <col min="5" max="5" width="20.7109375" customWidth="1"/>
    <col min="6" max="6" width="14.7109375" customWidth="1"/>
    <col min="7" max="7" width="14.5703125" customWidth="1"/>
    <col min="8" max="8" width="13.85546875" customWidth="1"/>
    <col min="9" max="9" width="14.85546875" customWidth="1"/>
    <col min="10" max="10" width="12.5703125" customWidth="1"/>
    <col min="11" max="11" width="12.85546875" customWidth="1"/>
    <col min="16" max="16" width="12.85546875" customWidth="1"/>
    <col min="17" max="17" width="11.28515625" customWidth="1"/>
    <col min="18" max="18" width="13.42578125" customWidth="1"/>
    <col min="24" max="24" width="12" customWidth="1"/>
    <col min="25" max="25" width="19.5703125" customWidth="1"/>
    <col min="32" max="32" width="14" customWidth="1"/>
    <col min="40" max="40" width="6.140625" customWidth="1"/>
  </cols>
  <sheetData>
    <row r="1" spans="1:34">
      <c r="A1" s="86"/>
      <c r="B1" s="91" t="s">
        <v>144</v>
      </c>
      <c r="C1" s="92" t="s">
        <v>145</v>
      </c>
      <c r="D1" s="93"/>
      <c r="E1" s="93"/>
      <c r="F1" s="94">
        <v>42161</v>
      </c>
      <c r="G1" s="93"/>
      <c r="H1" s="95" t="s">
        <v>148</v>
      </c>
      <c r="I1" s="93"/>
      <c r="J1" s="88"/>
      <c r="K1" s="95"/>
      <c r="N1" s="4"/>
    </row>
    <row r="2" spans="1:34" ht="28.5" customHeight="1">
      <c r="A2" s="87"/>
      <c r="B2" s="150" t="s">
        <v>147</v>
      </c>
      <c r="C2" s="151"/>
      <c r="D2" s="151"/>
      <c r="E2" s="151"/>
      <c r="F2" s="151"/>
      <c r="G2" s="151"/>
      <c r="H2" s="4" t="s">
        <v>201</v>
      </c>
      <c r="J2" s="16"/>
      <c r="K2" s="95"/>
      <c r="N2" s="4"/>
      <c r="R2" s="77"/>
      <c r="S2" s="77"/>
      <c r="T2" s="77"/>
      <c r="U2" s="77"/>
      <c r="V2" s="77"/>
      <c r="W2" s="77"/>
      <c r="X2" s="78"/>
      <c r="Y2" s="78"/>
      <c r="Z2" s="78"/>
      <c r="AA2" s="78"/>
      <c r="AB2" s="78"/>
      <c r="AC2" s="78"/>
      <c r="AD2" s="78"/>
      <c r="AE2" s="78"/>
      <c r="AF2" s="78"/>
      <c r="AG2" s="5"/>
      <c r="AH2" s="5"/>
    </row>
    <row r="3" spans="1:34" ht="13.5" thickBot="1">
      <c r="A3" s="87"/>
      <c r="B3" s="4"/>
      <c r="C3" s="4"/>
      <c r="D3" s="4"/>
      <c r="E3" s="183"/>
      <c r="F3" s="183"/>
      <c r="G3" s="183"/>
      <c r="H3" s="183"/>
      <c r="I3" s="186"/>
      <c r="J3" s="187"/>
      <c r="K3" s="95"/>
      <c r="M3" s="4"/>
      <c r="R3" s="77"/>
      <c r="S3" s="77"/>
      <c r="T3" s="77"/>
      <c r="U3" s="77"/>
      <c r="V3" s="77"/>
      <c r="Y3" s="78"/>
      <c r="Z3" s="78"/>
      <c r="AA3" s="78"/>
      <c r="AB3" s="78"/>
      <c r="AC3" s="78"/>
      <c r="AD3" s="78"/>
      <c r="AE3" s="78"/>
      <c r="AF3" s="78"/>
      <c r="AG3" s="5"/>
      <c r="AH3" s="5"/>
    </row>
    <row r="4" spans="1:34" ht="13.5" thickBot="1">
      <c r="A4" s="87"/>
      <c r="B4" s="12" t="s">
        <v>70</v>
      </c>
      <c r="C4" s="24" t="s">
        <v>73</v>
      </c>
      <c r="E4" s="185" t="s">
        <v>104</v>
      </c>
      <c r="F4" s="188"/>
      <c r="G4" s="189"/>
      <c r="H4" s="189"/>
      <c r="I4" s="189"/>
      <c r="J4" s="189"/>
      <c r="K4" s="190"/>
      <c r="M4" s="4"/>
      <c r="R4" s="77"/>
      <c r="S4" s="77"/>
      <c r="T4" s="77"/>
      <c r="U4" s="77"/>
      <c r="V4" s="77"/>
      <c r="W4" s="77"/>
      <c r="X4" s="78"/>
      <c r="Y4" s="78"/>
      <c r="Z4" s="78"/>
      <c r="AA4" s="78"/>
      <c r="AB4" s="78"/>
      <c r="AC4" s="78"/>
      <c r="AD4" s="78"/>
      <c r="AE4" s="78"/>
      <c r="AF4" s="78"/>
      <c r="AG4" s="5"/>
      <c r="AH4" s="5"/>
    </row>
    <row r="5" spans="1:34" ht="13.5" customHeight="1" thickBot="1">
      <c r="A5" s="88"/>
      <c r="B5" s="4"/>
      <c r="C5" s="4"/>
      <c r="D5" s="4"/>
      <c r="E5" s="184"/>
      <c r="F5" s="182"/>
      <c r="G5" s="4"/>
      <c r="H5" s="4"/>
      <c r="I5" s="4"/>
      <c r="J5" s="4"/>
      <c r="K5" s="95"/>
      <c r="M5" s="4"/>
      <c r="R5" s="77"/>
      <c r="S5" s="77"/>
      <c r="T5" s="77"/>
      <c r="U5" s="77"/>
      <c r="V5" s="77"/>
      <c r="W5" s="77"/>
      <c r="X5" s="78"/>
      <c r="Y5" s="78"/>
      <c r="Z5" s="78"/>
      <c r="AA5" s="78"/>
      <c r="AB5" s="78"/>
      <c r="AC5" s="78"/>
      <c r="AD5" s="78"/>
      <c r="AE5" s="78"/>
      <c r="AF5" s="78"/>
      <c r="AG5" s="5"/>
      <c r="AH5" s="5"/>
    </row>
    <row r="6" spans="1:34" ht="15.75" thickBot="1">
      <c r="A6" s="88"/>
      <c r="B6" s="12" t="s">
        <v>18</v>
      </c>
      <c r="C6" s="25" t="s">
        <v>24</v>
      </c>
      <c r="D6" s="4"/>
      <c r="E6" s="178" t="str">
        <f>IF($C$4="lidé",IF($J$26=TRUE,"Lidská","Člověk"),IF($C$4="horalové",IF($J$26=TRUE,"Horalka","Horal"),IF($C$4="Divoši",IF($J$26=TRUE,"Divoška","Divoch"),IF($C$4="barbaři",IF($J$26=TRUE,"Barbarka","Barbar"),IF($C$4="Hlubinní trpaslíci",IF($J$26=TRUE,"Hlubinná trpaslice","Hlubinný trpaslík"),IF($C$4="Horští trpaslíci",IF($J$26=TRUE,"Horská trpaslice","Horský trpaslík"),IF($C$4="Svobodní trpaslíci",IF($J$26=TRUE,"Svobodná trpaslice","Svobodný trpaslík"),IF($C$4="Pláňoví elfové",IF($J$26=TRUE,"Pláňová elfka","Pláňový elf"),IF($C$4="Zelení elfové",IF($J$26=TRUE,"Zelená elfka","Zelený elf"),IF($C$4="Stříbrní elfové",IF($J$26=TRUE,"Stříbrná elfka","Stříbrný elf"),IF($C$4="Sněžní elfové",IF($J$26=TRUE,"Sněžná elfka","Sněžný elf"),IF($C$4="hobiti",IF($J$26=TRUE,"Hobitka","Hobit"),IF($C$4="Jeskynní krollové",IF($J$26=TRUE,"Jeskynní krollka","Jeskynní kroll"),IF($C$4="divocí krollové",IF($J$26=TRUE,"Divoká krollka","Divoký kroll"),IF($C$4="pralesní krollové",IF($J$26=TRUE,"Pralesní krollka","Pralesní kroll"),IF($C$4="permoníci",IF($J$26=TRUE,"Permonice","Permoník"),IF($C$4="šotci",IF($J$26=TRUE,"Šotka","Šotek"),IF($C$4="skřeti",IF($J$26=TRUE,"Skřetí","Skřet"),IF($C$4="skuruti",IF($J$26=TRUE,"Skurutka","Skurut"),IF($C$4="goblini",IF($J$26=TRUE,"Goblinka","Gobliní"),"Chyba"))))))))))))))))))))</f>
        <v>Divoký kroll</v>
      </c>
      <c r="F6" s="181" t="str">
        <f>LOWER(C6)</f>
        <v>bojovník</v>
      </c>
      <c r="G6" s="4"/>
      <c r="H6" s="4"/>
      <c r="I6" s="4"/>
      <c r="J6" s="4"/>
      <c r="K6" s="95"/>
      <c r="M6" s="4"/>
      <c r="R6" s="77"/>
      <c r="S6" s="77"/>
      <c r="T6" s="77"/>
      <c r="U6" s="77"/>
      <c r="V6" s="77"/>
      <c r="W6" s="77"/>
      <c r="X6" s="78"/>
      <c r="Y6" s="78"/>
      <c r="Z6" s="78"/>
      <c r="AA6" s="78"/>
      <c r="AB6" s="78"/>
      <c r="AC6" s="78"/>
      <c r="AD6" s="78"/>
      <c r="AE6" s="78"/>
      <c r="AF6" s="78"/>
      <c r="AG6" s="5"/>
      <c r="AH6" s="5"/>
    </row>
    <row r="7" spans="1:34">
      <c r="A7" s="88"/>
      <c r="B7" s="4"/>
      <c r="C7" s="4"/>
      <c r="D7" s="4"/>
      <c r="E7" s="179" t="str">
        <f>IF($C$4="lidé","Homo sapiens sapiens",IF($C$4="horalové","Homo sapiens sapiens var. montanus",IF($C$4="barbaři","Homo barbariensis",IF($C$4="trpaslíci","Subhomo oreum",IF($C$4="Horští trpaslíci","Subhomo montanus",IF($C$4="lesní trpaslíci","Subhomo ferum var. sylvestris",IF($C$4="elfové","Hyperhomo sapiens",IF($C$4="lesní elfové","Hyperhomo sylvestris",IF($C$4="temní elfové","Hyperhomo nictinum",IF($C$4="hobiti","Homella habilis",IF($C$4="krollové","Kroll kroll subsp. krollensis",IF($C$4="divocí krollové","Kroll kroll subsp. dinos",IF($C$4="skřeti","Nyctio submontanus",IF($C$4="skuruti","Nyctio gigantea",IF($C$4="goblini","Nyctio viridis","Chyba")))))))))))))))</f>
        <v>Kroll kroll subsp. dinos</v>
      </c>
      <c r="F7" s="180"/>
      <c r="G7" s="4"/>
      <c r="H7" s="4"/>
      <c r="I7" s="4"/>
      <c r="J7" s="4"/>
      <c r="K7" s="95"/>
      <c r="R7" s="77"/>
      <c r="S7" s="77"/>
      <c r="T7" s="77"/>
      <c r="U7" s="77"/>
      <c r="V7" s="77"/>
      <c r="W7" s="77"/>
      <c r="X7" s="78"/>
      <c r="Y7" s="78"/>
      <c r="Z7" s="78"/>
      <c r="AA7" s="78"/>
      <c r="AB7" s="78"/>
      <c r="AC7" s="78"/>
      <c r="AD7" s="78"/>
      <c r="AE7" s="78"/>
      <c r="AF7" s="78"/>
      <c r="AG7" s="5"/>
      <c r="AH7" s="5"/>
    </row>
    <row r="8" spans="1:34">
      <c r="A8" s="88"/>
      <c r="B8" s="4"/>
      <c r="C8" s="4"/>
      <c r="D8" s="4"/>
      <c r="E8" s="4"/>
      <c r="F8" s="4"/>
      <c r="G8" s="4"/>
      <c r="H8" s="4"/>
      <c r="I8" s="4"/>
      <c r="J8" s="73"/>
      <c r="K8" s="95"/>
      <c r="R8" s="77"/>
      <c r="S8" s="77"/>
      <c r="T8" s="77"/>
      <c r="U8" s="77"/>
      <c r="V8" s="77"/>
      <c r="W8" s="77"/>
      <c r="X8" s="78"/>
      <c r="Y8" s="78"/>
      <c r="Z8" s="78"/>
      <c r="AA8" s="78"/>
      <c r="AB8" s="78"/>
      <c r="AC8" s="78"/>
      <c r="AD8" s="78"/>
      <c r="AE8" s="78"/>
      <c r="AF8" s="78"/>
      <c r="AG8" s="5"/>
      <c r="AH8" s="5"/>
    </row>
    <row r="9" spans="1:34" ht="13.5" thickBot="1">
      <c r="A9" s="88"/>
      <c r="B9" s="112"/>
      <c r="C9" s="109" t="s">
        <v>100</v>
      </c>
      <c r="D9" s="109" t="s">
        <v>102</v>
      </c>
      <c r="E9" s="109" t="s">
        <v>101</v>
      </c>
      <c r="F9" s="15" t="s">
        <v>79</v>
      </c>
      <c r="G9" s="14" t="s">
        <v>103</v>
      </c>
      <c r="H9" s="14"/>
      <c r="I9" s="14"/>
      <c r="J9" s="15"/>
      <c r="K9" s="95"/>
      <c r="R9" s="77"/>
      <c r="S9" s="77"/>
      <c r="T9" s="77"/>
      <c r="U9" s="77"/>
      <c r="V9" s="77"/>
      <c r="W9" s="77"/>
      <c r="X9" s="78"/>
      <c r="Y9" s="78"/>
      <c r="Z9" s="78"/>
      <c r="AA9" s="78"/>
      <c r="AB9" s="78"/>
      <c r="AC9" s="78"/>
      <c r="AD9" s="78"/>
      <c r="AE9" s="78"/>
      <c r="AF9" s="78"/>
      <c r="AG9" s="5"/>
      <c r="AH9" s="5"/>
    </row>
    <row r="10" spans="1:34" ht="13.5" thickBot="1">
      <c r="A10" s="88"/>
      <c r="B10" s="118" t="s">
        <v>0</v>
      </c>
      <c r="C10" s="58">
        <f>SUM(D10:J10)</f>
        <v>4</v>
      </c>
      <c r="D10" s="6">
        <f>IF($C$4="lidé",IF($J$26=TRUE,-1,0),IF($C$4="horalové",IF($J$26=TRUE,0,1),IF(C4="divoši",IF(J26=TRUE,-1,0),IF($C$4="barbaři",IF($J$26=TRUE,1,2),IF($C$4="horští trpaslíci",1,IF($C$4="Hlubinní trpaslíci",2,IF($C$4="svobodní trpaslíci",1,IF($C$4="pláňoví elfové",IF($J$26=TRUE,-2,-1),IF($C$4="zelení elfové",IF($J$26=TRUE,-2,-1),IF($C$4="stříbrní elfové",IF($J$26=TRUE,-1,0),IF(C4="sněžní elfové",IF(J26=TRUE,-2,-1),IF($C$4="hobiti",IF($J$26=TRUE,-4,-3),IF(RIGHT($C$4,8)="krollové",IF(J26=TRUE,2,3),IF(C4="permoníci",IF(J26=TRUE,-3,-2),IF(C4="šotci",IF(J26=TRUE,-4,-3),IF($C$4="skřeti",IF($J$26=TRUE,-1,0),IF($C$4="skuruti",IF($J$26=TRUE,0,1),IF($C$4="goblini",IF($J$26=TRUE,-2,-1),"chyba"))))))))))))))))))</f>
        <v>3</v>
      </c>
      <c r="E10" s="6">
        <f>IF($C$6="bojovník",1,IF($C$6="bojovnice",1,0))+IF($C$6="hraničář",1,IF($C$6="hraničářka",1,0))</f>
        <v>1</v>
      </c>
      <c r="F10" s="164"/>
      <c r="G10" s="165"/>
      <c r="H10" s="6"/>
      <c r="I10" s="6"/>
      <c r="J10" s="166"/>
      <c r="K10" s="95"/>
      <c r="R10" s="77"/>
      <c r="S10" s="77"/>
      <c r="T10" s="77"/>
      <c r="U10" s="77"/>
      <c r="V10" s="77"/>
      <c r="W10" s="77"/>
      <c r="X10" s="78"/>
      <c r="Y10" s="78"/>
      <c r="Z10" s="78"/>
      <c r="AA10" s="78"/>
      <c r="AB10" s="78"/>
      <c r="AC10" s="78"/>
      <c r="AD10" s="78"/>
      <c r="AE10" s="78"/>
      <c r="AF10" s="78"/>
      <c r="AG10" s="5"/>
      <c r="AH10" s="5"/>
    </row>
    <row r="11" spans="1:34" ht="13.5" thickBot="1">
      <c r="A11" s="88"/>
      <c r="B11" s="118"/>
      <c r="C11" s="111"/>
      <c r="D11" s="111"/>
      <c r="E11" s="111"/>
      <c r="F11" s="167"/>
      <c r="G11" s="168"/>
      <c r="H11" s="111"/>
      <c r="I11" s="111"/>
      <c r="J11" s="167"/>
      <c r="K11" s="95"/>
      <c r="R11" s="77"/>
      <c r="S11" s="77"/>
      <c r="T11" s="77"/>
      <c r="U11" s="77"/>
      <c r="V11" s="77"/>
      <c r="W11" s="77"/>
      <c r="X11" s="78"/>
      <c r="Y11" s="78"/>
      <c r="Z11" s="78"/>
      <c r="AA11" s="78"/>
      <c r="AB11" s="78"/>
      <c r="AC11" s="78"/>
      <c r="AD11" s="78"/>
      <c r="AE11" s="78"/>
      <c r="AF11" s="78"/>
      <c r="AG11" s="5"/>
      <c r="AH11" s="5"/>
    </row>
    <row r="12" spans="1:34" ht="13.5" thickBot="1">
      <c r="A12" s="88"/>
      <c r="B12" s="118" t="s">
        <v>1</v>
      </c>
      <c r="C12" s="58">
        <f>SUM(D12:J12)</f>
        <v>0</v>
      </c>
      <c r="D12" s="6">
        <f>IF($C$4="lidé",IF($J$26=TRUE,0,0),IF($C$4="horalové",IF($J$26=TRUE,0,0),IF(C4="divoši",IF(J26=TRUE,1,1),IF($C$4="barbaři",IF($J$26=TRUE,1,0),IF(RIGHT($C$4,9)="trpaslíci",-1,IF($C$4="pláňoví elfové",IF($J$26=TRUE,1,1),IF($C$4="zelení elfové",IF($J$26=TRUE,1,1),IF($C$4="stříbrní elfové",IF($J$26=TRUE,0,0),IF(C4="sněžní elfové",IF(J26=TRUE,2,2),IF($C$4="hobiti",IF($J$26=TRUE,2,1),IF($C$4="jeskynní krollové",IF($J$26=TRUE,-1,-2),IF($C$4="divocí krollové",IF($J$26=TRUE,0,-1),IF(C4="pralesní krollové",IF(J26=TRUE,0,-1),IF(C4="permoníci",IF(J26=TRUE,1,0),IF(C4="šotci",IF(J26=TRUE,2,2),IF($C$4="skřeti",IF($J$26=TRUE,2,2),IF($C$4="skuruti",IF($J$26=TRUE,1,1),IF($C$4="goblini",IF($J$26=TRUE,2,2),"chyba"))))))))))))))))))</f>
        <v>-1</v>
      </c>
      <c r="E12" s="6">
        <f>IF($C$6="bojovník",1,IF($C$6="bojovnice",1,0))+IF($C$6="zlodějka",1,IF($C$6="zloděj",1,0))</f>
        <v>1</v>
      </c>
      <c r="F12" s="164"/>
      <c r="G12" s="165"/>
      <c r="H12" s="6"/>
      <c r="I12" s="6"/>
      <c r="J12" s="166"/>
      <c r="K12" s="95"/>
      <c r="R12" s="77"/>
      <c r="S12" s="77"/>
      <c r="T12" s="77"/>
      <c r="U12" s="77"/>
      <c r="V12" s="77"/>
      <c r="W12" s="77"/>
      <c r="X12" s="78"/>
      <c r="Y12" s="78"/>
      <c r="Z12" s="78"/>
      <c r="AA12" s="78"/>
      <c r="AB12" s="78"/>
      <c r="AC12" s="78"/>
      <c r="AD12" s="78"/>
      <c r="AE12" s="78"/>
      <c r="AF12" s="78"/>
      <c r="AG12" s="5"/>
      <c r="AH12" s="5"/>
    </row>
    <row r="13" spans="1:34" ht="13.5" thickBot="1">
      <c r="A13" s="88"/>
      <c r="B13" s="118"/>
      <c r="C13" s="95"/>
      <c r="D13" s="128">
        <f>C12+I44</f>
        <v>0</v>
      </c>
      <c r="E13" s="111"/>
      <c r="F13" s="167"/>
      <c r="G13" s="168"/>
      <c r="H13" s="111"/>
      <c r="I13" s="111"/>
      <c r="J13" s="167"/>
      <c r="K13" s="95"/>
      <c r="R13" s="77"/>
      <c r="S13" s="77"/>
      <c r="T13" s="77"/>
      <c r="U13" s="77"/>
      <c r="V13" s="77"/>
      <c r="W13" s="77"/>
      <c r="X13" s="78"/>
      <c r="Y13" s="78"/>
      <c r="Z13" s="78"/>
      <c r="AA13" s="78"/>
      <c r="AB13" s="78"/>
      <c r="AC13" s="78"/>
      <c r="AD13" s="78"/>
      <c r="AE13" s="78"/>
      <c r="AF13" s="78"/>
      <c r="AG13" s="5"/>
      <c r="AH13" s="5"/>
    </row>
    <row r="14" spans="1:34" ht="13.5" thickBot="1">
      <c r="A14" s="88"/>
      <c r="B14" s="118" t="s">
        <v>2</v>
      </c>
      <c r="C14" s="58">
        <f>SUM(D14:J14)</f>
        <v>-2</v>
      </c>
      <c r="D14" s="6">
        <f>IF($C$4="lidé",IF($J$26=TRUE,0,0),IF($C$4="horalové",IF($J$26=TRUE,0,0),IF(C4="divoši",IF(J26=TRUE,1,1),IF($C$4="barbaři",IF($J$26=TRUE,-1,-1),IF($C$4="horští trpaslíci",IF(J26=TRUE,-1,0),IF(C4="hlubinní trpaslíci",IF(J26=TRUE,-1,0),IF(C4="svobodní trpaslíci",IF(J26=TRUE,-1,0),IF($C$4="pláňoví elfové",IF($J$26=TRUE,2,1),IF($C$4="zelení elfové",IF($J$26=TRUE,1,0),IF($C$4="stříbrní elfové",IF($J$26=TRUE,1,0),IF(C4="sněžní elfové",IF(J26=TRUE,1,0),IF($C$4="hobiti",IF($J$26=TRUE,0,1),IF($C$4="jeskynní krollové",IF($J$26=TRUE,-1,-1),IF($C$4="divocí krollové",IF($J$26=TRUE,-2,-2),IF(C4="pralesní krollové",IF(J26=TRUE,-1,-1),IF(C4="permoníci",IF(J26=TRUE,2,2),IF(C4="šotci",IF(J26=TRUE,2,2),IF($C$4="skřeti",IF($J$26=TRUE,0,0),IF($C$4="skuruti",IF($J$26=TRUE,-1,-1),IF($C$4="goblini",IF($J$26=TRUE,1,1),"chyba"))))))))))))))))))))</f>
        <v>-2</v>
      </c>
      <c r="E14" s="6">
        <f>IF($C$6="zloděj",1,IF($C$6="zlodějka",1,0))+IF($C$6="hraničář",1,IF($C$6="hraničářka",1,0))+IF(C6="alchymista",1,IF(C6="alchymistka",1,0))</f>
        <v>0</v>
      </c>
      <c r="F14" s="164"/>
      <c r="G14" s="165"/>
      <c r="H14" s="6"/>
      <c r="I14" s="6"/>
      <c r="J14" s="166"/>
      <c r="K14" s="95"/>
      <c r="R14" s="77"/>
      <c r="S14" s="77"/>
      <c r="T14" s="77"/>
      <c r="U14" s="77"/>
      <c r="V14" s="77"/>
      <c r="W14" s="77"/>
      <c r="X14" s="78"/>
      <c r="Y14" s="78"/>
      <c r="Z14" s="78"/>
      <c r="AA14" s="78"/>
      <c r="AB14" s="78"/>
      <c r="AC14" s="78"/>
      <c r="AD14" s="78"/>
      <c r="AE14" s="78"/>
      <c r="AF14" s="78"/>
      <c r="AG14" s="5"/>
      <c r="AH14" s="5"/>
    </row>
    <row r="15" spans="1:34" ht="13.5" thickBot="1">
      <c r="A15" s="88"/>
      <c r="B15" s="118"/>
      <c r="C15" s="111"/>
      <c r="D15" s="111"/>
      <c r="E15" s="111"/>
      <c r="F15" s="167"/>
      <c r="G15" s="168"/>
      <c r="H15" s="111"/>
      <c r="I15" s="111"/>
      <c r="J15" s="167"/>
      <c r="K15" s="95"/>
      <c r="R15" s="77"/>
      <c r="S15" s="77"/>
      <c r="T15" s="77"/>
      <c r="U15" s="77"/>
      <c r="V15" s="77"/>
      <c r="W15" s="77"/>
      <c r="X15" s="78"/>
      <c r="Y15" s="78"/>
      <c r="Z15" s="78"/>
      <c r="AA15" s="78"/>
      <c r="AB15" s="78"/>
      <c r="AC15" s="78"/>
      <c r="AD15" s="78"/>
      <c r="AE15" s="78"/>
      <c r="AF15" s="78"/>
      <c r="AG15" s="5"/>
      <c r="AH15" s="5"/>
    </row>
    <row r="16" spans="1:34" ht="13.5" thickBot="1">
      <c r="A16" s="88"/>
      <c r="B16" s="118" t="s">
        <v>3</v>
      </c>
      <c r="C16" s="58">
        <f>SUM(D16:J16)</f>
        <v>2</v>
      </c>
      <c r="D16" s="6">
        <f>IF($C$4="lidé",IF($J$26=TRUE,0,0),IF($C$4="horalové",IF($J$26=TRUE,1,1),IF(C4="divoši",IF(J26=TRUE,0,0),IF($C$4="barbaři",IF($J$26=TRUE,0,1),IF($C$4="horští trpaslíci",IF(J26=TRUE,2,2),IF(C4="hlubinní trpaslíci",IF(J26=TRUE,2,2),IF(C4="svobodní trpaslíci",IF(J26=TRUE,1,1),IF($C$4="pláňoví elfové",IF($J$26=TRUE,-2,-2),IF($C$4="zelení elfové",IF($J$26=TRUE,-1,-1),IF($C$4="stříbrní elfové",IF($J$26=TRUE,0,0),IF(C4="sněžní elfové",IF(J26=TRUE,-1,-1),IF($C$4="hobiti",IF($J$26=TRUE,0,0),IF($C$4="jeskynní krollové",IF($J$26=TRUE,0,1),IF($C$4="divocí krollové",IF($J$26=TRUE,1,2),IF(C4="pralesní krollové",IF(J26=TRUE,0,1),IF(C4="permoníci",IF(J26=TRUE,-1,0),IF(C4="šotci",IF(J26=TRUE,0,1),IF($C$4="skřeti",IF($J$26=TRUE,0,-1),IF($C$4="skuruti",IF($J$26=TRUE,1,0),IF($C$4="goblini",IF($J$26=TRUE,-1,-2),"chyba"))))))))))))))))))))</f>
        <v>2</v>
      </c>
      <c r="E16" s="6">
        <f>IF($C$6="čaroděj",1,IF($C$6="čarodějka",1,0))+IF($C$6="kněz",1,IF($C$6="kněžka",1,0))+IF($C$6="nekromant",1,IF($C$6="nekromantka",1,0))</f>
        <v>0</v>
      </c>
      <c r="F16" s="164"/>
      <c r="G16" s="165"/>
      <c r="H16" s="6"/>
      <c r="I16" s="6"/>
      <c r="J16" s="166"/>
      <c r="K16" s="95"/>
      <c r="R16" s="77"/>
      <c r="S16" s="77"/>
      <c r="T16" s="77"/>
      <c r="U16" s="77"/>
      <c r="V16" s="77"/>
      <c r="W16" s="77"/>
      <c r="X16" s="78"/>
      <c r="Y16" s="78"/>
      <c r="Z16" s="78"/>
      <c r="AA16" s="78"/>
      <c r="AB16" s="78"/>
      <c r="AC16" s="78"/>
      <c r="AD16" s="78"/>
      <c r="AE16" s="78"/>
      <c r="AF16" s="78"/>
      <c r="AG16" s="5"/>
      <c r="AH16" s="5"/>
    </row>
    <row r="17" spans="1:45" ht="13.5" thickBot="1">
      <c r="A17" s="88"/>
      <c r="B17" s="118"/>
      <c r="C17" s="111"/>
      <c r="D17" s="111"/>
      <c r="E17" s="111"/>
      <c r="F17" s="167"/>
      <c r="G17" s="168"/>
      <c r="H17" s="111"/>
      <c r="I17" s="111"/>
      <c r="J17" s="167"/>
      <c r="K17" s="95"/>
      <c r="R17" s="77"/>
      <c r="S17" s="77"/>
      <c r="T17" s="77"/>
      <c r="U17" s="77"/>
      <c r="V17" s="77"/>
      <c r="W17" s="77"/>
      <c r="X17" s="78"/>
      <c r="Y17" s="78"/>
      <c r="Z17" s="78"/>
      <c r="AA17" s="78"/>
      <c r="AB17" s="78"/>
      <c r="AC17" s="78"/>
      <c r="AD17" s="78"/>
      <c r="AE17" s="78"/>
      <c r="AF17" s="78"/>
      <c r="AG17" s="5"/>
      <c r="AH17" s="5"/>
    </row>
    <row r="18" spans="1:45" ht="13.5" thickBot="1">
      <c r="A18" s="88"/>
      <c r="B18" s="118" t="s">
        <v>4</v>
      </c>
      <c r="C18" s="169">
        <f>SUM(D18:J18)</f>
        <v>-3</v>
      </c>
      <c r="D18" s="170">
        <f>IF($C$4="lidé",IF($J$26=TRUE,0,0),IF($C$4="horalové",IF($J$26=TRUE,0,0),IF(C4="divoši",IF(J26=TRUE,-2,-2),IF($C$4="barbaři",IF($J$26=TRUE,-1,-1),IF($C$4="horští trpaslíci",IF(J26=TRUE,0,-1),IF(C4="hlubinní trpaslíci",IF(J26=TRUE,-1,-2),IF(C4="svobodní trpaslíci",IF(J26=TRUE,0,-1),IF($C$4="pláňoví elfové",IF($J$26=TRUE,0,1),IF($C$4="zelení elfové",IF($J$26=TRUE,0,1),IF($C$4="stříbrní elfové",IF($J$26=TRUE,0,1),IF(C4="sněžní elfové",IF(J26=TRUE,0,1),IF($C$4="hobiti",IF($J$26=TRUE,-1,-1),IF($C$4="jeskynní krollové",IF($J$26=TRUE,-3,-3),IF($C$4="divocí krollové",IF($J$26=TRUE,-3,-3),IF(C4="pralesní krollové",IF(J26=TRUE,-3,-3),IF(C4="permoníci",IF(J26=TRUE,0,0),IF(C4="šotci",IF(J26=TRUE,0,0),IF($C$4="skřeti",IF($J$26=TRUE,0,0),IF($C$4="skuruti",IF($J$26=TRUE,0,0),IF($C$4="goblini",IF($J$26=TRUE,0,0),"chyba"))))))))))))))))))))</f>
        <v>-3</v>
      </c>
      <c r="E18" s="170">
        <f>IF($C$6="čaroděj",1,IF($C$6="čarodějka",1,0))+IF($C$6="theurg",1,IF($C$6="theurgé",1,0))+IF(C6="alchymista",1,IF(C6="alchymistka",1,0))+IF(C6="nekromant",1,IF(C6="nekromantka",1,0))</f>
        <v>0</v>
      </c>
      <c r="F18" s="171"/>
      <c r="G18" s="172"/>
      <c r="H18" s="170"/>
      <c r="I18" s="170"/>
      <c r="J18" s="171"/>
      <c r="K18" s="95"/>
      <c r="R18" s="77"/>
      <c r="S18" s="77"/>
      <c r="T18" s="77"/>
      <c r="U18" s="77"/>
      <c r="V18" s="77"/>
      <c r="W18" s="77"/>
      <c r="X18" s="78"/>
      <c r="Y18" s="78"/>
      <c r="Z18" s="78"/>
      <c r="AA18" s="78"/>
      <c r="AB18" s="78"/>
      <c r="AC18" s="78"/>
      <c r="AD18" s="78"/>
      <c r="AE18" s="78"/>
      <c r="AF18" s="78"/>
      <c r="AG18" s="5"/>
      <c r="AH18" s="5"/>
    </row>
    <row r="19" spans="1:45" ht="13.5" customHeight="1" thickBot="1">
      <c r="A19" s="88"/>
      <c r="B19" s="118"/>
      <c r="C19" s="111"/>
      <c r="D19" s="111"/>
      <c r="E19" s="111"/>
      <c r="F19" s="167"/>
      <c r="G19" s="168"/>
      <c r="H19" s="111"/>
      <c r="I19" s="111"/>
      <c r="J19" s="167"/>
      <c r="K19" s="95"/>
      <c r="R19" s="77"/>
      <c r="S19" s="77"/>
      <c r="T19" s="77"/>
      <c r="U19" s="77"/>
      <c r="V19" s="77"/>
      <c r="W19" s="77"/>
      <c r="X19" s="78"/>
      <c r="Y19" s="78"/>
      <c r="Z19" s="78"/>
      <c r="AA19" s="78"/>
      <c r="AB19" s="78"/>
      <c r="AC19" s="78"/>
      <c r="AD19" s="78"/>
      <c r="AE19" s="78"/>
      <c r="AF19" s="78"/>
      <c r="AG19" s="5"/>
      <c r="AH19" s="5"/>
    </row>
    <row r="20" spans="1:45" ht="13.5" thickBot="1">
      <c r="A20" s="88"/>
      <c r="B20" s="118" t="s">
        <v>5</v>
      </c>
      <c r="C20" s="58">
        <f>SUM(D20:J20)</f>
        <v>-2</v>
      </c>
      <c r="D20" s="173">
        <f>IF($C$4="lidé",IF($J$26=TRUE,1,0),IF($C$4="horalové",IF($J$26=TRUE,0,-1),IF(C4="divoši",IF(J26=TRUE,1,0),IF($C$4="barbaři",IF($J$26=TRUE,-1,-2),IF($C$4="horští trpaslíci",IF(J26=TRUE,-2,-2),IF(C4="hlubinní trpaslíci",IF(J26=TRUE,-2,-2),IF(C4="svobodní trpaslíci",IF(J26=TRUE,-1,-1),IF($C$4="pláňoví elfové",IF($J$26=TRUE,2,1),IF($C$4="zelení elfové",IF($J$26=TRUE,2,1),IF($C$4="stříbrní elfové",IF($J$26=TRUE,1,0),IF(C4="sněžní elfové",IF(J26=TRUE,1,0),IF($C$4="hobiti",IF($J$26=TRUE,3,2),IF($C$4="jeskynní krollové",IF($J$26=TRUE,-1,-2),IF($C$4="divocí krollové",IF($J$26=TRUE,-1,-2),IF(C4="pralesní krollové",IF(J26=TRUE,-1,-2),IF(C4="permoníci",IF(J26=TRUE,1,0),IF(C4="šotci",IF(J26=TRUE,0,-1),IF($C$4="skřeti",IF($J$26=TRUE,-2,-2),IF($C$4="skuruti",IF($J$26=TRUE,-2,-2),IF($C$4="goblini",IF($J$26=TRUE,-1,-1),"chyba"))))))))))))))))))))</f>
        <v>-2</v>
      </c>
      <c r="E20" s="6">
        <f>IF($C$6="theurg",1,IF($C$6="theurgé",1,0))+IF($C$6="kněz",1,IF($C$6="kněžka",1,0))</f>
        <v>0</v>
      </c>
      <c r="F20" s="164"/>
      <c r="G20" s="165"/>
      <c r="H20" s="6"/>
      <c r="I20" s="6"/>
      <c r="J20" s="166"/>
      <c r="K20" s="95"/>
      <c r="R20" s="77"/>
      <c r="S20" s="77"/>
      <c r="T20" s="77"/>
      <c r="U20" s="77"/>
      <c r="V20" s="77"/>
      <c r="W20" s="77"/>
      <c r="X20" s="78"/>
      <c r="Y20" s="78"/>
      <c r="Z20" s="78"/>
      <c r="AA20" s="78"/>
      <c r="AB20" s="78"/>
      <c r="AC20" s="78"/>
      <c r="AD20" s="78"/>
      <c r="AE20" s="78"/>
      <c r="AF20" s="78"/>
      <c r="AG20" s="5"/>
      <c r="AH20" s="5"/>
    </row>
    <row r="21" spans="1:45">
      <c r="A21" s="88"/>
      <c r="B21" s="114"/>
      <c r="C21" s="174"/>
      <c r="D21" s="174"/>
      <c r="E21" s="174"/>
      <c r="F21" s="174"/>
      <c r="G21" s="175"/>
      <c r="H21" s="174"/>
      <c r="I21" s="174"/>
      <c r="J21" s="176"/>
      <c r="K21" s="95"/>
      <c r="R21" s="77"/>
      <c r="S21" s="77"/>
      <c r="T21" s="77"/>
      <c r="U21" s="77"/>
      <c r="V21" s="77"/>
      <c r="W21" s="77"/>
      <c r="X21" s="78"/>
      <c r="Y21" s="78"/>
      <c r="Z21" s="78"/>
      <c r="AA21" s="78"/>
      <c r="AB21" s="78"/>
      <c r="AC21" s="78"/>
      <c r="AD21" s="78"/>
      <c r="AE21" s="78"/>
      <c r="AF21" s="78"/>
      <c r="AG21" s="5"/>
      <c r="AH21" s="5"/>
    </row>
    <row r="22" spans="1:45" ht="13.5" thickBot="1">
      <c r="A22" s="88"/>
      <c r="D22" s="4"/>
      <c r="E22" s="4"/>
      <c r="F22" s="4"/>
      <c r="G22" s="4"/>
      <c r="H22" s="4"/>
      <c r="I22" s="4"/>
      <c r="J22" s="73"/>
      <c r="K22" s="95"/>
      <c r="R22" s="77"/>
      <c r="S22" s="77"/>
      <c r="T22" s="77"/>
      <c r="U22" s="77"/>
      <c r="V22" s="77"/>
      <c r="W22" s="77"/>
      <c r="X22" s="78"/>
      <c r="Y22" s="78"/>
      <c r="Z22" s="78"/>
      <c r="AA22" s="4"/>
      <c r="AB22" s="78"/>
      <c r="AC22" s="78"/>
      <c r="AD22" s="78"/>
      <c r="AE22" s="78"/>
      <c r="AF22" s="78"/>
      <c r="AG22" s="5"/>
      <c r="AH22" s="5"/>
    </row>
    <row r="23" spans="1:45" ht="13.5" thickBot="1">
      <c r="A23" s="88"/>
      <c r="B23" s="113" t="s">
        <v>69</v>
      </c>
      <c r="C23" s="1">
        <f>IF(C4="divocí krollové",3,IF(C4="pláňoví elfové",-1,IF(C4="jeskynní krollové",3,IF(C4="pralesní krollové",3,IF(C4="hobiti",-1,IF(C4="barbaři",2,IF(C4="skřeti",-1,IF(C4="skuruti",1,IF(C4="goblini",-1,IF(C4="zelení elfové",-1,IF(C4="stříbrní elfové",-1,IF(C4="sněžní elfové",-1,IF(C4="permoníci",-3,IF(C4="šotci",-3,0))))))))))))))+IF(C6="bojovnice",-1,IF(C6="hraničářka",-1,IF(C6="zlodějka",-1,IF(C6="čarodějka",-1,IF(C6="nekromantka",-1,IF(C6="kněžka",-1,IF(C6="alchymistka",-1,IF(C6="druidka",-1,IF(C6="theurgé",-1,0)))))))))+IF(RIGHT(E6,9)="trpaslice",1,0)</f>
        <v>3</v>
      </c>
      <c r="D23" s="4"/>
      <c r="E23" s="4"/>
      <c r="F23" s="4"/>
      <c r="G23" s="4"/>
      <c r="H23" s="4"/>
      <c r="I23" s="95" t="s">
        <v>7</v>
      </c>
      <c r="J23" s="56">
        <f>C10+IF(C4="hlubinní trpaslíci",1,IF(C4="svobodní trpaslíci",1,IF(C4="horští trpaslíci",1,0)))</f>
        <v>4</v>
      </c>
      <c r="K23" s="95"/>
      <c r="R23" s="77"/>
      <c r="S23" s="77"/>
      <c r="T23" s="77"/>
      <c r="U23" s="77"/>
      <c r="V23" s="77"/>
      <c r="W23" s="77"/>
      <c r="X23" s="78"/>
      <c r="Y23" s="78"/>
      <c r="Z23" s="78"/>
      <c r="AA23" s="78"/>
      <c r="AB23" s="78"/>
      <c r="AC23" s="78"/>
      <c r="AD23" s="78"/>
      <c r="AE23" s="78"/>
      <c r="AF23" s="78"/>
      <c r="AG23" s="5"/>
      <c r="AH23" s="5"/>
    </row>
    <row r="24" spans="1:45" ht="13.5" thickBot="1">
      <c r="A24" s="88"/>
      <c r="B24" s="9"/>
      <c r="D24" s="4"/>
      <c r="E24" s="4"/>
      <c r="F24" s="4"/>
      <c r="G24" s="4"/>
      <c r="H24" s="4"/>
      <c r="I24" s="4"/>
      <c r="J24" s="4"/>
      <c r="K24" s="111"/>
      <c r="R24" s="77"/>
      <c r="S24" s="77"/>
      <c r="T24" s="77"/>
      <c r="U24" s="77"/>
      <c r="V24" s="77"/>
      <c r="W24" s="77"/>
      <c r="X24" s="78"/>
      <c r="Y24" s="78"/>
      <c r="Z24" s="78"/>
      <c r="AA24" s="78"/>
      <c r="AB24" s="78"/>
      <c r="AC24" s="78"/>
      <c r="AD24" s="78"/>
      <c r="AE24" s="78"/>
      <c r="AF24" s="78"/>
      <c r="AG24" s="5"/>
      <c r="AH24" s="5"/>
    </row>
    <row r="25" spans="1:45" ht="13.5" thickBot="1">
      <c r="A25" s="88"/>
      <c r="B25" s="91" t="s">
        <v>68</v>
      </c>
      <c r="C25" s="8" t="str">
        <f>IF(C4="lidé","130-170 cm",IF(C4="horalové","135-175 cm",IF(C4="divoši","155-185 cm",IF(C4="horští trpaslíci","125-160 cm",IF(C4="jeskynní krollové","+- 230 cm",IF(C4="hobiti","90-125 cm",IF(C4="barbaři","170-210 cm",IF(C4="skřeti","145-165 cm",IF(C4="goblini","125-160 cm",IF(C4="skuruti","165-195 cm",IF(RIGHT(C4,6)="elfové","170-185 cm",IF(C4="hlubinní trpaslíci","130-155 cm",IF(C4="svobodní trpaslíci","130-165 cm",IF(C4="divocí krollové","+- 245 cm",IF(C4="pralesní krollové","+- 235 cm",IF(C4="permoníci","90-125 cm",IF(C4="šotci","92-123 cm","chyba")))))))))))))))))</f>
        <v>+- 245 cm</v>
      </c>
      <c r="D25" s="4"/>
      <c r="E25" s="4"/>
      <c r="F25" s="4"/>
      <c r="G25" s="4"/>
      <c r="H25" s="4"/>
      <c r="I25" s="95" t="s">
        <v>8</v>
      </c>
      <c r="J25" s="56">
        <f>(C10+C16)/2</f>
        <v>3</v>
      </c>
      <c r="K25" s="95"/>
      <c r="R25" s="77"/>
      <c r="S25" s="77"/>
      <c r="T25" s="77"/>
      <c r="U25" s="77"/>
      <c r="V25" s="77"/>
      <c r="W25" s="77"/>
      <c r="X25" s="78"/>
      <c r="Y25" s="78"/>
      <c r="Z25" s="78"/>
      <c r="AA25" s="78"/>
      <c r="AB25" s="78"/>
      <c r="AC25" s="78"/>
      <c r="AD25" s="78"/>
      <c r="AE25" s="78"/>
      <c r="AF25" s="78"/>
      <c r="AG25" s="5"/>
      <c r="AH25" s="5"/>
    </row>
    <row r="26" spans="1:45" ht="13.5" thickBot="1">
      <c r="A26" s="88"/>
      <c r="B26" s="12" t="s">
        <v>13</v>
      </c>
      <c r="C26" s="25"/>
      <c r="D26" s="4"/>
      <c r="E26" s="4"/>
      <c r="F26" s="4"/>
      <c r="G26" s="4"/>
      <c r="H26" s="4"/>
      <c r="I26" s="4"/>
      <c r="J26" s="27" t="b">
        <f>IF($C$6="alchymistka",TRUE,IF($C$6="nekromantka",TRUE,IF($C$6="kněžka",TRUE,IF($C$6="theurgé",TRUE,IF($C$6="čarodějka",TRUE,IF($C$6="hraničářka",TRUE,IF($C$6="zlodějka",TRUE,IF($C$6="bojovnice",TRUE,FALSE))))))))</f>
        <v>0</v>
      </c>
      <c r="K26" s="95"/>
      <c r="R26" s="77"/>
      <c r="S26" s="77"/>
      <c r="T26" s="77"/>
      <c r="U26" s="77"/>
      <c r="V26" s="77"/>
      <c r="W26" s="77"/>
      <c r="X26" s="78"/>
      <c r="Y26" s="78"/>
      <c r="Z26" s="78"/>
      <c r="AA26" s="78"/>
      <c r="AB26" s="78"/>
      <c r="AC26" s="78"/>
      <c r="AD26" s="78"/>
      <c r="AE26" s="78"/>
      <c r="AF26" s="78"/>
      <c r="AG26" s="5"/>
      <c r="AH26" s="5"/>
    </row>
    <row r="27" spans="1:45" ht="13.5" thickBot="1">
      <c r="A27" s="88"/>
      <c r="D27" s="4"/>
      <c r="E27" s="4"/>
      <c r="F27" s="4"/>
      <c r="G27" s="4"/>
      <c r="H27" s="4"/>
      <c r="I27" s="95" t="s">
        <v>67</v>
      </c>
      <c r="J27" s="56">
        <f>CEILING((C12+C10)/2,1)+IF(C26&lt;150,-1,IF(C26&gt;180,1,0))</f>
        <v>1</v>
      </c>
      <c r="K27" s="95"/>
      <c r="R27" s="77"/>
      <c r="S27" s="77"/>
      <c r="T27" s="77"/>
      <c r="U27" s="77"/>
      <c r="V27" s="77"/>
      <c r="W27" s="19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</row>
    <row r="28" spans="1:45" ht="13.5" thickBot="1">
      <c r="A28" s="89"/>
      <c r="B28" s="11"/>
      <c r="C28" s="11"/>
      <c r="D28" s="73"/>
      <c r="E28" s="73"/>
      <c r="F28" s="110" t="s">
        <v>93</v>
      </c>
      <c r="G28" s="73"/>
      <c r="H28" s="4"/>
      <c r="I28" s="4"/>
      <c r="J28" s="36" t="str">
        <f>IF($C$6="nekromantka","magič",IF($C$6="nekromant","magič",IF($C$6="alchymista","sebevrah",IF($C$6="alchymistka","sebevrah",IF($C$6="bojovník","řežič",IF($C$6="bojovnice","řežič",IF($C$6="hraničář","individualista",IF($C$6="hraničářka","individualista",IF($C$6="zloděj","poberta",IF($C$6="zlodějka","poberta",IF($C$6="čaroděj","magič",IF($C$6="čarodějka","magič",IF($C$6="theurg","démonolog",IF($C$6="theurgé","démonolog",IF($C$6="kněz","demagog","demagog")))))))))))))))</f>
        <v>řežič</v>
      </c>
      <c r="K28" s="95"/>
      <c r="R28" s="77"/>
      <c r="S28" s="77"/>
      <c r="T28" s="77"/>
      <c r="U28" s="77"/>
      <c r="V28" s="77"/>
      <c r="W28" s="19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</row>
    <row r="29" spans="1:45" ht="13.5" thickBot="1">
      <c r="A29" s="89"/>
      <c r="B29" s="112" t="s">
        <v>86</v>
      </c>
      <c r="C29" s="109" t="s">
        <v>90</v>
      </c>
      <c r="D29" s="109" t="s">
        <v>91</v>
      </c>
      <c r="E29" s="109" t="s">
        <v>92</v>
      </c>
      <c r="F29" s="95" t="s">
        <v>100</v>
      </c>
      <c r="G29" s="29" t="str">
        <f>IF((C34+C32+C36)&lt;&gt;C30,"Chyba","V pořádku")</f>
        <v>V pořádku</v>
      </c>
      <c r="H29" s="6"/>
      <c r="I29" s="111" t="s">
        <v>9</v>
      </c>
      <c r="J29" s="58">
        <f>C14+1-IF(C4="skřeti",0,IF(C4="goblini",0,IF(C4="skuruti",0,IF(C4="trpaslíci",2,IF(C4="horští trpaslíci",2, IF(C4="lesní trpaslíci",2,1))))))</f>
        <v>-2</v>
      </c>
      <c r="K29" s="95"/>
      <c r="R29" s="77"/>
      <c r="S29" s="77"/>
      <c r="T29" s="77"/>
      <c r="U29" s="77"/>
      <c r="V29" s="77"/>
      <c r="W29" s="19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</row>
    <row r="30" spans="1:45" ht="13.5" thickBot="1">
      <c r="A30" s="89"/>
      <c r="B30" s="26" t="s">
        <v>89</v>
      </c>
      <c r="C30" s="31">
        <f>IF(B30="výjmečné vlastnosti",5,IF(B30="kombinace",10,15))</f>
        <v>5</v>
      </c>
      <c r="D30" s="74">
        <f>IF(C30=5,3,IF(C30=10,2,1))</f>
        <v>3</v>
      </c>
      <c r="E30" s="74">
        <f>2*D30</f>
        <v>6</v>
      </c>
      <c r="F30" s="95" t="s">
        <v>95</v>
      </c>
      <c r="G30" s="28" t="str">
        <f>IF(C34&gt;C32+3,"Moc bodů v majetku","V pořádku")</f>
        <v>V pořádku</v>
      </c>
      <c r="I30" s="4"/>
      <c r="J30" s="4"/>
      <c r="K30" s="95"/>
      <c r="R30" s="77"/>
      <c r="S30" s="77"/>
      <c r="T30" s="77"/>
      <c r="U30" s="77"/>
      <c r="V30" s="77"/>
      <c r="W30" s="19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</row>
    <row r="31" spans="1:45" ht="13.5" thickBot="1">
      <c r="A31" s="89"/>
      <c r="D31" s="6"/>
      <c r="E31" s="6"/>
      <c r="F31" s="111" t="s">
        <v>86</v>
      </c>
      <c r="G31" s="28" t="str">
        <f>IF(C36&gt;C32+3,"Moc bodů v dovednostech","V pořádku")</f>
        <v>V pořádku</v>
      </c>
      <c r="H31" s="4"/>
      <c r="I31" s="95" t="s">
        <v>120</v>
      </c>
      <c r="J31" s="58" t="str">
        <f>IF(RIGHT(C4,6)="elfové","Zrak",IF(C4="pralesní krollové","Sluch",IF(C4="jeskynní krollové","Sluch",IF(C4="hlubinní trpaslíci","Hmat",IF(C4="permoníci","Zrak",IF(C4="šotci","Zrak",IF(C4="hobiti","Chuť",IF(C4="skřeti","Čich",IF(C4="skuruti","Čich",IF(C4="goblini","Čich",IF(C4="horští trpaslíci","Hmat",IF(C4="svobodní trpaslíci","Hmat",IF(C4="divocí krollové","Sluch","Nemá")))))))))))))</f>
        <v>Sluch</v>
      </c>
      <c r="K31" s="95"/>
      <c r="R31" s="77"/>
      <c r="S31" s="77"/>
      <c r="T31" s="77"/>
      <c r="U31" s="77"/>
      <c r="V31" s="77"/>
      <c r="W31" s="196"/>
      <c r="X31" s="36"/>
      <c r="Y31" s="36"/>
      <c r="Z31" s="36"/>
      <c r="AA31" s="36"/>
      <c r="AB31" s="36"/>
      <c r="AC31" s="36"/>
      <c r="AD31" s="36"/>
      <c r="AE31" s="36"/>
      <c r="AF31" s="36"/>
      <c r="AG31" s="36" t="s">
        <v>161</v>
      </c>
      <c r="AH31" s="36" t="s">
        <v>162</v>
      </c>
      <c r="AI31" s="196" t="s">
        <v>163</v>
      </c>
      <c r="AJ31" s="196" t="s">
        <v>164</v>
      </c>
      <c r="AK31" s="196" t="s">
        <v>165</v>
      </c>
      <c r="AL31" s="196" t="s">
        <v>166</v>
      </c>
      <c r="AM31" s="196" t="s">
        <v>167</v>
      </c>
      <c r="AN31" s="196" t="s">
        <v>13</v>
      </c>
      <c r="AO31" s="196" t="s">
        <v>168</v>
      </c>
      <c r="AP31" s="196"/>
      <c r="AQ31" s="196"/>
      <c r="AR31" s="196"/>
      <c r="AS31" s="196"/>
    </row>
    <row r="32" spans="1:45" ht="13.5" thickBot="1">
      <c r="A32" s="88"/>
      <c r="B32" s="33" t="s">
        <v>94</v>
      </c>
      <c r="C32" s="32">
        <v>2</v>
      </c>
      <c r="D32" s="155" t="str">
        <f>IF(C32=0,"Drobet jídla v šátku, špinavé potrhané hadry.",IF(C32=1,"Nějaké jídlo, nějaká malá otrhaná mošnička, ušpiněné potrhané hadry.",IF(C32=2,"Orezlý nůž, jídlo, malá mošnička, obnošené hadry.",IF(C32=3,"Nůž, jídlo, malý tlumok, obnošené hadry.",IF(C32=4,"Nůž, dobré jídlo, tlumok, běžné oblečení, boty, neželezná zbraň (sekera, kyj).",IF(C32=5,"Nůž, dobré jídlo, tlumok, slušné oblečení, zbraň, boty, spací vak, prošívaná zbroj.",IF(C32=6,"Zbraň, štít, kožená zbroj, torna, jídlo, dýka, zdobené oblečení, boty, láhev alkoholu.",IF(C32=7,"Tažný kůň, dvě zbraně, štít,pobíjená zbroj, plášť, jídlo, torna, dýka nebo tesák, honosné oblečení, dobré boty, láhev alkoholu.","Kroužková zbroj, dvě kvalitní zbraně, štít, jezdecký kůň, dýka nebo tesák, honosný šat a záložní oblečení, kvalitní boty, truhla, torna, dobré jídlo."))))))))</f>
        <v>Orezlý nůž, jídlo, malá mošnička, obnošené hadry.</v>
      </c>
      <c r="E32" s="156"/>
      <c r="F32" s="156"/>
      <c r="G32" s="156"/>
      <c r="H32" s="156"/>
      <c r="I32" s="156"/>
      <c r="J32" s="149"/>
      <c r="K32" s="95"/>
      <c r="R32" s="77"/>
      <c r="S32" s="77"/>
      <c r="T32" s="77"/>
      <c r="U32" s="77"/>
      <c r="V32" s="77"/>
      <c r="W32" s="196"/>
      <c r="X32" s="36"/>
      <c r="Y32" s="36"/>
      <c r="Z32" s="36">
        <v>0</v>
      </c>
      <c r="AA32" s="36" t="s">
        <v>118</v>
      </c>
      <c r="AB32" s="36"/>
      <c r="AC32" s="36" t="s">
        <v>139</v>
      </c>
      <c r="AD32" s="36"/>
      <c r="AE32" s="36">
        <v>1</v>
      </c>
      <c r="AF32" s="196" t="s">
        <v>29</v>
      </c>
      <c r="AG32" s="36">
        <v>0</v>
      </c>
      <c r="AH32" s="36">
        <v>0</v>
      </c>
      <c r="AI32" s="196">
        <v>0</v>
      </c>
      <c r="AJ32" s="196">
        <v>0</v>
      </c>
      <c r="AK32" s="196">
        <v>0</v>
      </c>
      <c r="AL32" s="196">
        <v>0</v>
      </c>
      <c r="AM32" s="196">
        <v>0</v>
      </c>
      <c r="AN32" s="196">
        <v>165</v>
      </c>
      <c r="AO32" s="196" t="s">
        <v>184</v>
      </c>
      <c r="AP32" s="196"/>
      <c r="AQ32" s="196"/>
      <c r="AR32" s="196"/>
      <c r="AS32" s="196"/>
    </row>
    <row r="33" spans="1:45" ht="13.5" thickBot="1">
      <c r="A33" s="88"/>
      <c r="D33" s="4"/>
      <c r="E33" s="75" t="str">
        <f>IF(C32=0,"Nalezenec",IF(C32=1,"Sirotek",IF(C32=2,"Z neúplné rodiny",IF(C32=3,"Z pochybné rodiny",IF(C32=4,"Ze slušné rodiny",IF(C32=5,"Z dobré rodiny",IF(C32=6,"Z velmi dobré a vlivné rodiny",IF(C32=7,"Šlechtic","Šlechtic z dobrého rodu"))))))))</f>
        <v>Z neúplné rodiny</v>
      </c>
      <c r="F33" s="4"/>
      <c r="G33" s="4"/>
      <c r="H33" s="4"/>
      <c r="I33" s="95" t="s">
        <v>146</v>
      </c>
      <c r="J33" s="159" t="str">
        <f>IF(OR(C4="šotci",C4="permoníci",C4="stříbrní elfové",C4="skřeti",C4="šotci",C4="hlubinní trpaslíci",C4="svobodní trpaslíci",C4="horští trpaslíci",C4="goblini",C4="skuruti")=TRUE,"infravidění","nemá")</f>
        <v>nemá</v>
      </c>
      <c r="K33" s="95"/>
      <c r="R33" s="77"/>
      <c r="S33" s="77"/>
      <c r="T33" s="77"/>
      <c r="U33" s="77"/>
      <c r="V33" s="77"/>
      <c r="W33" s="196" t="s">
        <v>60</v>
      </c>
      <c r="X33" s="196" t="s">
        <v>24</v>
      </c>
      <c r="Y33" s="196"/>
      <c r="Z33" s="36">
        <v>1</v>
      </c>
      <c r="AA33" s="36" t="s">
        <v>124</v>
      </c>
      <c r="AB33" s="196"/>
      <c r="AC33" s="196" t="s">
        <v>140</v>
      </c>
      <c r="AD33" s="196"/>
      <c r="AE33" s="196">
        <v>2</v>
      </c>
      <c r="AF33" s="196" t="s">
        <v>31</v>
      </c>
      <c r="AG33" s="196">
        <v>-1</v>
      </c>
      <c r="AH33" s="196">
        <v>0</v>
      </c>
      <c r="AI33" s="196">
        <v>0</v>
      </c>
      <c r="AJ33" s="196">
        <v>0</v>
      </c>
      <c r="AK33" s="196">
        <v>0</v>
      </c>
      <c r="AL33" s="196">
        <v>1</v>
      </c>
      <c r="AM33" s="196">
        <v>-1</v>
      </c>
      <c r="AN33" s="196">
        <v>155</v>
      </c>
      <c r="AO33" s="196" t="s">
        <v>185</v>
      </c>
      <c r="AP33" s="196"/>
      <c r="AQ33" s="196"/>
      <c r="AR33" s="196"/>
      <c r="AS33" s="196"/>
    </row>
    <row r="34" spans="1:45" ht="13.5" thickBot="1">
      <c r="A34" s="88"/>
      <c r="B34" s="33" t="s">
        <v>95</v>
      </c>
      <c r="C34" s="32">
        <v>0</v>
      </c>
      <c r="D34" s="4"/>
      <c r="E34" s="160" t="str">
        <f>IF(C34=0,"12 grošů",IF(C34=1,"36 grošů",IF(C34=2,"120 grošů",IF(C34=3,"360 grošů",IF(C34=4,"1 200 grošů",IF(C34=5,"3 600 grošů",IF(C34=6,"12 000 grošů",IF(C34=7,"36 000 grošů","120 000 grošů"))))))))</f>
        <v>12 grošů</v>
      </c>
      <c r="F34" s="4"/>
      <c r="G34" s="4"/>
      <c r="H34" s="4"/>
      <c r="I34" s="4"/>
      <c r="J34" s="4"/>
      <c r="K34" s="95"/>
      <c r="R34" s="77"/>
      <c r="S34" s="77"/>
      <c r="T34" s="77"/>
      <c r="U34" s="77"/>
      <c r="V34" s="77"/>
      <c r="W34" s="196" t="s">
        <v>61</v>
      </c>
      <c r="X34" s="196" t="s">
        <v>54</v>
      </c>
      <c r="Y34" s="196"/>
      <c r="Z34" s="36">
        <v>2</v>
      </c>
      <c r="AA34" s="36" t="s">
        <v>125</v>
      </c>
      <c r="AB34" s="196"/>
      <c r="AC34" s="196" t="s">
        <v>141</v>
      </c>
      <c r="AD34" s="196"/>
      <c r="AE34" s="196">
        <v>3</v>
      </c>
      <c r="AF34" s="196" t="s">
        <v>32</v>
      </c>
      <c r="AG34" s="196">
        <v>1</v>
      </c>
      <c r="AH34" s="196">
        <v>0</v>
      </c>
      <c r="AI34" s="196">
        <v>0</v>
      </c>
      <c r="AJ34" s="196">
        <v>1</v>
      </c>
      <c r="AK34" s="196">
        <v>-1</v>
      </c>
      <c r="AL34" s="196">
        <v>-1</v>
      </c>
      <c r="AM34" s="196">
        <v>0</v>
      </c>
      <c r="AN34" s="196">
        <v>170</v>
      </c>
      <c r="AO34" s="196" t="s">
        <v>186</v>
      </c>
      <c r="AP34" s="196"/>
      <c r="AQ34" s="196"/>
      <c r="AR34" s="196"/>
      <c r="AS34" s="196"/>
    </row>
    <row r="35" spans="1:45" ht="13.5" thickBot="1">
      <c r="A35" s="88"/>
      <c r="D35" s="4"/>
      <c r="E35" s="4"/>
      <c r="F35" s="4"/>
      <c r="G35" s="4"/>
      <c r="H35" s="4"/>
      <c r="I35" s="95" t="s">
        <v>10</v>
      </c>
      <c r="J35" s="56">
        <f>(C12+C14)/2+0.5*C20</f>
        <v>-2</v>
      </c>
      <c r="K35" s="95"/>
      <c r="R35" s="77"/>
      <c r="S35" s="77"/>
      <c r="T35" s="77"/>
      <c r="U35" s="77"/>
      <c r="V35" s="77"/>
      <c r="W35" s="196" t="s">
        <v>62</v>
      </c>
      <c r="X35" s="196" t="s">
        <v>19</v>
      </c>
      <c r="Y35" s="196"/>
      <c r="Z35" s="36">
        <v>3</v>
      </c>
      <c r="AA35" s="36" t="s">
        <v>126</v>
      </c>
      <c r="AB35" s="196"/>
      <c r="AC35" s="196"/>
      <c r="AD35" s="196"/>
      <c r="AE35" s="196">
        <v>4</v>
      </c>
      <c r="AF35" s="196" t="s">
        <v>33</v>
      </c>
      <c r="AG35" s="196">
        <v>0</v>
      </c>
      <c r="AH35" s="196">
        <v>0</v>
      </c>
      <c r="AI35" s="196">
        <v>0</v>
      </c>
      <c r="AJ35" s="196">
        <v>1</v>
      </c>
      <c r="AK35" s="196">
        <v>-1</v>
      </c>
      <c r="AL35" s="196">
        <v>0</v>
      </c>
      <c r="AM35" s="196">
        <v>-1</v>
      </c>
      <c r="AN35" s="196">
        <v>158</v>
      </c>
      <c r="AO35" s="196" t="s">
        <v>187</v>
      </c>
      <c r="AP35" s="196"/>
      <c r="AQ35" s="196"/>
      <c r="AR35" s="196"/>
      <c r="AS35" s="196"/>
    </row>
    <row r="36" spans="1:45" ht="13.5" thickBot="1">
      <c r="A36" s="88"/>
      <c r="B36" s="33" t="s">
        <v>86</v>
      </c>
      <c r="C36" s="131">
        <v>3</v>
      </c>
      <c r="D36" s="132" t="s">
        <v>96</v>
      </c>
      <c r="E36" s="133" t="s">
        <v>97</v>
      </c>
      <c r="F36" s="133" t="s">
        <v>98</v>
      </c>
      <c r="G36" s="134" t="s">
        <v>99</v>
      </c>
      <c r="H36" s="4"/>
      <c r="I36" s="4"/>
      <c r="J36" s="4"/>
      <c r="K36" s="95"/>
      <c r="R36" s="77"/>
      <c r="S36" s="77"/>
      <c r="T36" s="77"/>
      <c r="U36" s="77"/>
      <c r="V36" s="77"/>
      <c r="W36" s="196" t="s">
        <v>63</v>
      </c>
      <c r="X36" s="196" t="s">
        <v>55</v>
      </c>
      <c r="Y36" s="196"/>
      <c r="Z36" s="36">
        <v>4</v>
      </c>
      <c r="AA36" s="36" t="s">
        <v>127</v>
      </c>
      <c r="AB36" s="196"/>
      <c r="AC36" s="196"/>
      <c r="AD36" s="196"/>
      <c r="AE36" s="36">
        <v>5</v>
      </c>
      <c r="AF36" s="196" t="s">
        <v>182</v>
      </c>
      <c r="AG36" s="196">
        <v>0</v>
      </c>
      <c r="AH36" s="196">
        <v>1</v>
      </c>
      <c r="AI36" s="196">
        <v>1</v>
      </c>
      <c r="AJ36" s="196">
        <v>0</v>
      </c>
      <c r="AK36" s="196">
        <v>-2</v>
      </c>
      <c r="AL36" s="196">
        <v>0</v>
      </c>
      <c r="AM36" s="196">
        <v>0</v>
      </c>
      <c r="AN36" s="196">
        <v>180</v>
      </c>
      <c r="AO36" s="196" t="s">
        <v>188</v>
      </c>
      <c r="AP36" s="196"/>
      <c r="AQ36" s="196"/>
      <c r="AR36" s="196"/>
      <c r="AS36" s="196"/>
    </row>
    <row r="37" spans="1:45" ht="13.5" thickBot="1">
      <c r="A37" s="88"/>
      <c r="D37" s="135">
        <f>IF($C$36=0,IF(J28="individualista",2,IF(J28="řežič",2,IF(J28="poberta",1,0))),IF($C$36=1,IF(J28="individualista",2,IF(J28="řežič",3,IF(J28="poberta",2,IF(J28="magič",1,0)))),IF($C$36=2,IF(J28="individualista",3,IF(J28="řežič",4,IF(J28="poberta",2,IF(J28="démonolog",0,1)))),IF($C$36=3,IF(J28="individualista",3,IF(J28="řežič",4,IF(J28="poberta",3,IF(J28="magič",2,1)))),IF($C$36=4,IF(J28="individualista",4,IF(J28="řežič",5,IF(J28="poberta",4,IF(J28="démonolog",1,2)))),IF($C$36=5,IF(J28="individualista",5,IF(J28="řežič",6,IF(J28="poberta",5,IF(J28="magič",3,2)))),IF($C$36=6,IF(J28="individualista",6,IF(J28="řežič",8,IF(J28="poberta",6,IF(J28="démonolog",2,IF(J28="magič",4,3))))),IF($C$36=7,IF(J28="individualista",8,IF(J28="řežič",10,IF(J28="poberta",8,IF(J28="démonolog",3,IF(J28="demagog",4,5))))),IF(J28="individualista",10,IF(J28="řežič",12,IF(J28="poberta",9,IF(J28="démonolog",4,IF(J28="magič",6,5)))))))))))))+IF(C6="bojovník",(3+(J41-1)),IF(C6="bojovnice",(3+(J41-1)),0))</f>
        <v>7</v>
      </c>
      <c r="E37" s="136">
        <f>IF($C$36=0,IF(J28="individualista",0,IF(J28="řežič",0,IF(J28="démonolog",2,IF(J28="magič",3,1)))),IF($C$36=1,IF(J28="poberta",1,IF(J28="démonolog",3,IF(J28="magič",3,IF(J28="demagog",2,0)))),IF($C$36=2,IF(J28="individualista",0,IF(J28="řežič",0,IF(J28="poberta",1,IF(J28="demagog",2,4)))),IF($C$36=3,IF(J28="individualista",1,IF(J28="řežič",1,IF(J28="poberta",2,IF(J28="demagog",3,4)))),IF($C$36=4,IF(J28="individualista",1,IF(J28="řežič",1,IF(J28="poberta",2,IF(J28="demagog",3,5)))),IF($C$36=5,IF(J28="individualista",1,IF(J28="řežič",2,IF(J28="poberta",2,IF(J28="demagog",4,6)))),IF($C$36=6,IF(J28="individualista",2,IF(J28="řežič",2,IF(J28="poberta",3,IF(J28="démonolog",8,IF(J28="magič",7,5))))),IF($C$36=7,IF(J28="individualista",3,IF(J28="řežič",3,IF(J28="poberta",4,IF(J28="démonolog",10,IF(J28="demagog",7,9))))),IF(J28="individualista",4,IF(J28="řežič",4,IF(J28="poberta",6,IF(J28="démonolog",12,IF(J28="magič",11,9)))))))))))))</f>
        <v>1</v>
      </c>
      <c r="F37" s="136">
        <f>IF($C$36=0,IF(J28="demagog",2,IF(J28="magič",0,1)),IF($C$36=1,IF(J28="individualista",2,IF(J28="demagog",2,1)),IF($C$36=2,IF(J28="magič",0,IF(J28="řežič",1,IF(J28="démonolog",1,2))),IF($C$36=3,IF(J28="individualista",3,IF(J28="magič",1,IF(J28="demagog",3,2))),IF($C$36=4,IF(J28="individualista",4,IF(J28="magič",2,IF(J28="demagog",4,3))),IF($C$36=5,IF(J28="individualista",5,IF(J28="magič",2,IF(J28="poberta",4,IF(J28="demagog",5,3)))),IF($C$36=6,IF(J28="řežič",4,IF(J28="magič",3,IF(J28="poberta",5,IF(J28="démonolog",4,6)))),IF($C$36=7,IF(J28="individualista",7,IF(J28="řežič",5,IF(J28="poberta",6,IF(J28="démonolog",5,IF(J28="demagog",7,4))))),IF(J28="individualista",8,IF(J28="řežič",6,IF(J28="poberta",7,IF(J28="démonolog",6,IF(J28="magič",4,8)))))))))))))</f>
        <v>2</v>
      </c>
      <c r="G37" s="161">
        <f>(J41-1)/2+1</f>
        <v>1</v>
      </c>
      <c r="H37" s="4"/>
      <c r="I37" s="95" t="s">
        <v>11</v>
      </c>
      <c r="J37" s="56">
        <f>(C10+C16)/2+0.5*C20</f>
        <v>2</v>
      </c>
      <c r="K37" s="95"/>
      <c r="R37" s="77"/>
      <c r="S37" s="77"/>
      <c r="T37" s="77"/>
      <c r="U37" s="77"/>
      <c r="V37" s="77"/>
      <c r="W37" s="196" t="s">
        <v>64</v>
      </c>
      <c r="X37" s="196" t="s">
        <v>20</v>
      </c>
      <c r="Y37" s="196"/>
      <c r="Z37" s="36">
        <v>5</v>
      </c>
      <c r="AA37" s="36" t="s">
        <v>128</v>
      </c>
      <c r="AB37" s="196"/>
      <c r="AC37" s="196"/>
      <c r="AD37" s="196"/>
      <c r="AE37" s="196">
        <v>6</v>
      </c>
      <c r="AF37" s="196" t="s">
        <v>183</v>
      </c>
      <c r="AG37" s="196">
        <v>-1</v>
      </c>
      <c r="AH37" s="196">
        <v>1</v>
      </c>
      <c r="AI37" s="196">
        <v>1</v>
      </c>
      <c r="AJ37" s="196">
        <v>0</v>
      </c>
      <c r="AK37" s="196">
        <v>-2</v>
      </c>
      <c r="AL37" s="196">
        <v>1</v>
      </c>
      <c r="AM37" s="196">
        <v>-1</v>
      </c>
      <c r="AN37" s="196">
        <v>170</v>
      </c>
      <c r="AO37" s="196" t="s">
        <v>189</v>
      </c>
      <c r="AP37" s="196"/>
      <c r="AQ37" s="196"/>
      <c r="AR37" s="196"/>
      <c r="AS37" s="196"/>
    </row>
    <row r="38" spans="1:45" ht="13.5" thickBot="1">
      <c r="A38" s="88"/>
      <c r="D38" s="4"/>
      <c r="E38" s="4"/>
      <c r="F38" s="4"/>
      <c r="G38" s="4"/>
      <c r="H38" s="4"/>
      <c r="I38" s="4"/>
      <c r="J38" s="162"/>
      <c r="K38" s="95"/>
      <c r="R38" s="77"/>
      <c r="S38" s="77"/>
      <c r="T38" s="77"/>
      <c r="U38" s="77"/>
      <c r="V38" s="77"/>
      <c r="W38" s="196" t="s">
        <v>66</v>
      </c>
      <c r="X38" s="196" t="s">
        <v>56</v>
      </c>
      <c r="Y38" s="196"/>
      <c r="Z38" s="36">
        <v>6</v>
      </c>
      <c r="AA38" s="36" t="s">
        <v>129</v>
      </c>
      <c r="AB38" s="196"/>
      <c r="AC38" s="196"/>
      <c r="AD38" s="196"/>
      <c r="AE38" s="196">
        <v>7</v>
      </c>
      <c r="AF38" s="196" t="s">
        <v>30</v>
      </c>
      <c r="AG38" s="196">
        <v>2</v>
      </c>
      <c r="AH38" s="196">
        <v>1</v>
      </c>
      <c r="AI38" s="196">
        <v>-1</v>
      </c>
      <c r="AJ38" s="196">
        <v>1</v>
      </c>
      <c r="AK38" s="196">
        <v>-1</v>
      </c>
      <c r="AL38" s="196">
        <v>-2</v>
      </c>
      <c r="AM38" s="196">
        <v>2</v>
      </c>
      <c r="AN38" s="196">
        <v>190</v>
      </c>
      <c r="AO38" s="196" t="s">
        <v>190</v>
      </c>
      <c r="AP38" s="196"/>
      <c r="AQ38" s="196"/>
      <c r="AR38" s="196"/>
      <c r="AS38" s="196"/>
    </row>
    <row r="39" spans="1:45" ht="13.5" thickBot="1">
      <c r="A39" s="88"/>
      <c r="B39" s="5"/>
      <c r="C39" s="5"/>
      <c r="D39" s="4"/>
      <c r="E39" s="4"/>
      <c r="F39" s="4"/>
      <c r="G39" s="4"/>
      <c r="H39" s="4"/>
      <c r="I39" s="95" t="s">
        <v>12</v>
      </c>
      <c r="J39" s="56">
        <f>(C16+C18)/2+0.5*C20</f>
        <v>-1.5</v>
      </c>
      <c r="K39" s="95"/>
      <c r="R39" s="77"/>
      <c r="S39" s="77"/>
      <c r="T39" s="77"/>
      <c r="U39" s="77"/>
      <c r="V39" s="77"/>
      <c r="W39" s="196" t="s">
        <v>65</v>
      </c>
      <c r="X39" s="196" t="s">
        <v>21</v>
      </c>
      <c r="Y39" s="196"/>
      <c r="Z39" s="36">
        <v>7</v>
      </c>
      <c r="AA39" s="36" t="s">
        <v>130</v>
      </c>
      <c r="AB39" s="196"/>
      <c r="AC39" s="196"/>
      <c r="AD39" s="196"/>
      <c r="AE39" s="196">
        <v>8</v>
      </c>
      <c r="AF39" s="196" t="s">
        <v>34</v>
      </c>
      <c r="AG39" s="196">
        <v>1</v>
      </c>
      <c r="AH39" s="196">
        <v>2</v>
      </c>
      <c r="AI39" s="196">
        <v>-1</v>
      </c>
      <c r="AJ39" s="196">
        <v>0</v>
      </c>
      <c r="AK39" s="196">
        <v>-1</v>
      </c>
      <c r="AL39" s="196">
        <v>-1</v>
      </c>
      <c r="AM39" s="196">
        <v>1</v>
      </c>
      <c r="AN39" s="196">
        <v>185</v>
      </c>
      <c r="AO39" s="196" t="s">
        <v>186</v>
      </c>
      <c r="AP39" s="196"/>
      <c r="AQ39" s="196"/>
      <c r="AR39" s="196"/>
      <c r="AS39" s="196"/>
    </row>
    <row r="40" spans="1:45" ht="13.5" thickBot="1">
      <c r="A40" s="89"/>
      <c r="D40" s="4"/>
      <c r="E40" s="6"/>
      <c r="F40" s="6"/>
      <c r="G40" s="6"/>
      <c r="H40" s="6"/>
      <c r="I40" s="4"/>
      <c r="J40" s="4"/>
      <c r="K40" s="95"/>
      <c r="R40" s="77"/>
      <c r="S40" s="77"/>
      <c r="T40" s="77"/>
      <c r="U40" s="77"/>
      <c r="V40" s="77"/>
      <c r="W40" s="196" t="s">
        <v>153</v>
      </c>
      <c r="X40" s="196" t="s">
        <v>57</v>
      </c>
      <c r="Y40" s="196"/>
      <c r="Z40" s="36">
        <v>8</v>
      </c>
      <c r="AA40" s="36" t="s">
        <v>131</v>
      </c>
      <c r="AB40" s="196"/>
      <c r="AC40" s="196"/>
      <c r="AD40" s="196"/>
      <c r="AE40" s="36">
        <v>9</v>
      </c>
      <c r="AF40" s="196" t="s">
        <v>158</v>
      </c>
      <c r="AG40" s="196">
        <v>-1</v>
      </c>
      <c r="AH40" s="196">
        <v>1</v>
      </c>
      <c r="AI40" s="196">
        <v>1</v>
      </c>
      <c r="AJ40" s="196">
        <v>-2</v>
      </c>
      <c r="AK40" s="196">
        <v>1</v>
      </c>
      <c r="AL40" s="196">
        <v>1</v>
      </c>
      <c r="AM40" s="196">
        <v>-1</v>
      </c>
      <c r="AN40" s="196">
        <v>180</v>
      </c>
      <c r="AO40" s="196">
        <v>60</v>
      </c>
      <c r="AP40" s="196"/>
      <c r="AQ40" s="196"/>
      <c r="AR40" s="196"/>
      <c r="AS40" s="196"/>
    </row>
    <row r="41" spans="1:45" ht="13.5" thickBot="1">
      <c r="A41" s="88"/>
      <c r="D41" s="4"/>
      <c r="E41" s="4"/>
      <c r="F41" s="4"/>
      <c r="G41" s="4"/>
      <c r="H41" s="4"/>
      <c r="I41" s="13" t="s">
        <v>6</v>
      </c>
      <c r="J41" s="25">
        <v>1</v>
      </c>
      <c r="K41" s="95"/>
      <c r="R41" s="77"/>
      <c r="S41" s="77"/>
      <c r="T41" s="77"/>
      <c r="U41" s="77"/>
      <c r="V41" s="77"/>
      <c r="W41" s="196"/>
      <c r="X41" s="196" t="s">
        <v>22</v>
      </c>
      <c r="Y41" s="196"/>
      <c r="Z41" s="36">
        <v>9</v>
      </c>
      <c r="AA41" s="36" t="s">
        <v>132</v>
      </c>
      <c r="AB41" s="196"/>
      <c r="AC41" s="196"/>
      <c r="AD41" s="196"/>
      <c r="AE41" s="196">
        <v>10</v>
      </c>
      <c r="AF41" s="196" t="s">
        <v>159</v>
      </c>
      <c r="AG41" s="196">
        <v>-2</v>
      </c>
      <c r="AH41" s="196">
        <v>1</v>
      </c>
      <c r="AI41" s="196">
        <v>2</v>
      </c>
      <c r="AJ41" s="196">
        <v>-2</v>
      </c>
      <c r="AK41" s="196">
        <v>0</v>
      </c>
      <c r="AL41" s="196">
        <v>2</v>
      </c>
      <c r="AM41" s="196">
        <v>-2</v>
      </c>
      <c r="AN41" s="196">
        <v>175</v>
      </c>
      <c r="AO41" s="196">
        <v>55</v>
      </c>
      <c r="AP41" s="196"/>
      <c r="AQ41" s="196"/>
      <c r="AR41" s="196"/>
      <c r="AS41" s="196"/>
    </row>
    <row r="42" spans="1:45" ht="13.5" thickBot="1">
      <c r="A42" s="88"/>
      <c r="C42" s="177">
        <f>IF($C$6="Bojovník",$D$13,IF($C$6="Zloděj",($D$13+$C$14)/2,IF($C$6="Hraničář",($D$13+$C$14)/2,IF($C$6="Čaroděj",($C$18+$D$13)/2,IF($C$6="Theurg",($C$18+$D$13)/2,IF($C$6="kněz",($D$13+$C$20)/2,IF($C$6="bojovnice",$D$13,IF($C$6="hraničářka",($D$13+$C$14)/2,IF($C$6="zlodějka",($D$13+$C$14)/2,IF($C$6="čarodějka",($C$18+$D$13)/2,IF($C$6="theurgé",($C$18+$D$13)/2,($C$20+$D$13/2))))))))))))</f>
        <v>0</v>
      </c>
      <c r="D42" s="4"/>
      <c r="E42" s="4"/>
      <c r="F42" s="4"/>
      <c r="G42" s="4"/>
      <c r="H42" s="4"/>
      <c r="I42" s="4"/>
      <c r="J42" s="4"/>
      <c r="K42" s="95"/>
      <c r="R42" s="77"/>
      <c r="S42" s="77"/>
      <c r="T42" s="77"/>
      <c r="U42" s="77"/>
      <c r="V42" s="77"/>
      <c r="W42" s="196"/>
      <c r="X42" s="196" t="s">
        <v>58</v>
      </c>
      <c r="Y42" s="196"/>
      <c r="Z42" s="36">
        <v>10</v>
      </c>
      <c r="AA42" s="196"/>
      <c r="AB42" s="196"/>
      <c r="AC42" s="196"/>
      <c r="AD42" s="196"/>
      <c r="AE42" s="196">
        <v>11</v>
      </c>
      <c r="AF42" s="196" t="s">
        <v>160</v>
      </c>
      <c r="AG42" s="196">
        <v>-1</v>
      </c>
      <c r="AH42" s="196">
        <v>1</v>
      </c>
      <c r="AI42" s="196">
        <v>0</v>
      </c>
      <c r="AJ42" s="196">
        <v>-1</v>
      </c>
      <c r="AK42" s="196">
        <v>1</v>
      </c>
      <c r="AL42" s="196">
        <v>1</v>
      </c>
      <c r="AM42" s="196">
        <v>-1</v>
      </c>
      <c r="AN42" s="196">
        <v>180</v>
      </c>
      <c r="AO42" s="196">
        <v>60</v>
      </c>
      <c r="AP42" s="196"/>
      <c r="AQ42" s="196"/>
      <c r="AR42" s="196"/>
      <c r="AS42" s="196"/>
    </row>
    <row r="43" spans="1:45" ht="13.5" thickBot="1">
      <c r="A43" s="88"/>
      <c r="B43" s="104" t="s">
        <v>14</v>
      </c>
      <c r="C43" s="140">
        <f>IF(C42&lt;0,CEILING(C42,-1),CEILING(C42,1))+IF($C$26&lt;150,-1,IF($C$26&gt;180,1,0))+IF($C$6="bojovník",1,0)</f>
        <v>0</v>
      </c>
      <c r="D43" s="4"/>
      <c r="E43" s="37" t="s">
        <v>111</v>
      </c>
      <c r="F43" s="38" t="s">
        <v>113</v>
      </c>
      <c r="G43" s="39" t="s">
        <v>84</v>
      </c>
      <c r="H43" s="38" t="s">
        <v>116</v>
      </c>
      <c r="I43" s="97" t="s">
        <v>112</v>
      </c>
      <c r="J43" s="108" t="s">
        <v>121</v>
      </c>
      <c r="K43" s="95"/>
      <c r="N43" s="4"/>
      <c r="R43" s="77"/>
      <c r="S43" s="77"/>
      <c r="T43" s="77"/>
      <c r="U43" s="77"/>
      <c r="V43" s="77"/>
      <c r="W43" s="196"/>
      <c r="X43" s="196" t="s">
        <v>23</v>
      </c>
      <c r="Y43" s="196"/>
      <c r="Z43" s="36">
        <v>11</v>
      </c>
      <c r="AA43" s="196"/>
      <c r="AB43" s="196"/>
      <c r="AC43" s="196"/>
      <c r="AD43" s="196"/>
      <c r="AE43" s="196">
        <v>12</v>
      </c>
      <c r="AF43" s="196" t="s">
        <v>169</v>
      </c>
      <c r="AG43" s="196">
        <v>-2</v>
      </c>
      <c r="AH43" s="196">
        <v>1</v>
      </c>
      <c r="AI43" s="196">
        <v>1</v>
      </c>
      <c r="AJ43" s="196">
        <v>-1</v>
      </c>
      <c r="AK43" s="196">
        <v>0</v>
      </c>
      <c r="AL43" s="196">
        <v>2</v>
      </c>
      <c r="AM43" s="196">
        <v>-2</v>
      </c>
      <c r="AN43" s="196">
        <v>175</v>
      </c>
      <c r="AO43" s="196">
        <v>55</v>
      </c>
      <c r="AP43" s="196"/>
      <c r="AQ43" s="196"/>
      <c r="AR43" s="196"/>
      <c r="AS43" s="196"/>
    </row>
    <row r="44" spans="1:45" ht="13.5" thickBot="1">
      <c r="A44" s="88"/>
      <c r="B44" s="105" t="s">
        <v>15</v>
      </c>
      <c r="C44" s="55">
        <f>IF(D13&lt;0,CEILING(D13/2,-1),FLOOR($D$13/2,1))</f>
        <v>0</v>
      </c>
      <c r="D44" s="4"/>
      <c r="E44" s="57"/>
      <c r="F44" s="35"/>
      <c r="G44" s="53"/>
      <c r="H44" s="145" t="s">
        <v>107</v>
      </c>
      <c r="I44" s="58">
        <f>IF(J44&lt;1,0,IF(J44&lt;4,-2,IF(J44&lt;7,-4,IF(J44&lt;9,-8,IF(J44&lt;11,-12,"Nemůže se hýbat")))))</f>
        <v>0</v>
      </c>
      <c r="J44" s="163">
        <f>-(C10-(G44+C23))</f>
        <v>-1</v>
      </c>
      <c r="K44" s="95"/>
      <c r="R44" s="77"/>
      <c r="S44" s="77"/>
      <c r="T44" s="77"/>
      <c r="U44" s="77"/>
      <c r="V44" s="77"/>
      <c r="W44" s="196"/>
      <c r="X44" s="196" t="s">
        <v>59</v>
      </c>
      <c r="Y44" s="196"/>
      <c r="Z44" s="196">
        <v>12</v>
      </c>
      <c r="AA44" s="196"/>
      <c r="AB44" s="196"/>
      <c r="AC44" s="196"/>
      <c r="AD44" s="196"/>
      <c r="AE44" s="36">
        <v>13</v>
      </c>
      <c r="AF44" s="196" t="s">
        <v>170</v>
      </c>
      <c r="AG44" s="196">
        <v>0</v>
      </c>
      <c r="AH44" s="196">
        <v>0</v>
      </c>
      <c r="AI44" s="196">
        <v>0</v>
      </c>
      <c r="AJ44" s="196">
        <v>0</v>
      </c>
      <c r="AK44" s="196">
        <v>1</v>
      </c>
      <c r="AL44" s="196">
        <v>0</v>
      </c>
      <c r="AM44" s="196">
        <v>-1</v>
      </c>
      <c r="AN44" s="196">
        <v>180</v>
      </c>
      <c r="AO44" s="196">
        <v>60</v>
      </c>
      <c r="AP44" s="196"/>
      <c r="AQ44" s="196"/>
      <c r="AR44" s="196"/>
      <c r="AS44" s="196"/>
    </row>
    <row r="45" spans="1:45" ht="13.5" thickBot="1">
      <c r="A45" s="88"/>
      <c r="B45" s="105" t="s">
        <v>16</v>
      </c>
      <c r="C45" s="56">
        <f>IF(D14&lt;0,FLOOR(D14/2,-1),FLOOR($D$14/2,1))</f>
        <v>-1</v>
      </c>
      <c r="D45" s="4"/>
      <c r="E45" s="59"/>
      <c r="F45" s="54"/>
      <c r="G45" s="54"/>
      <c r="H45" s="60"/>
      <c r="I45" s="60" t="str">
        <f>IF(J44&lt;1,"Lehká zbroj",IF(J44&lt;4,"Střední zbroj",IF(J44&lt;7,"Těžká zbroj",IF(J44&lt;9,"Velmi těžká",IF(J44&lt;11,"Extrémní","Neúnosná")))))</f>
        <v>Lehká zbroj</v>
      </c>
      <c r="J45" s="108" t="str">
        <f>IF(-J44&lt;1,"Síla chybí","Síla nechybí")</f>
        <v>Síla nechybí</v>
      </c>
      <c r="K45" s="95"/>
      <c r="R45" s="77"/>
      <c r="S45" s="77"/>
      <c r="T45" s="77"/>
      <c r="U45" s="77"/>
      <c r="V45" s="77"/>
      <c r="W45" s="196"/>
      <c r="X45" s="196" t="s">
        <v>149</v>
      </c>
      <c r="Y45" s="196"/>
      <c r="Z45" s="196">
        <v>13</v>
      </c>
      <c r="AA45" s="196"/>
      <c r="AB45" s="196"/>
      <c r="AC45" s="196"/>
      <c r="AD45" s="196"/>
      <c r="AE45" s="196">
        <v>14</v>
      </c>
      <c r="AF45" s="196" t="s">
        <v>171</v>
      </c>
      <c r="AG45" s="196">
        <v>-1</v>
      </c>
      <c r="AH45" s="196">
        <v>0</v>
      </c>
      <c r="AI45" s="196">
        <v>1</v>
      </c>
      <c r="AJ45" s="196">
        <v>0</v>
      </c>
      <c r="AK45" s="196">
        <v>0</v>
      </c>
      <c r="AL45" s="196">
        <v>1</v>
      </c>
      <c r="AM45" s="196">
        <v>-2</v>
      </c>
      <c r="AN45" s="196">
        <v>175</v>
      </c>
      <c r="AO45" s="196">
        <v>55</v>
      </c>
      <c r="AP45" s="196"/>
      <c r="AQ45" s="196"/>
      <c r="AR45" s="196"/>
      <c r="AS45" s="196"/>
    </row>
    <row r="46" spans="1:45" ht="13.5" thickBot="1">
      <c r="A46" s="88"/>
      <c r="B46" s="106" t="s">
        <v>17</v>
      </c>
      <c r="C46" s="56">
        <f>IF(D13&lt;0,CEILING(D13/2,-1),CEILING($D$13/2,1))</f>
        <v>0</v>
      </c>
      <c r="D46" s="4"/>
      <c r="E46" s="139" t="str">
        <f>IF(I45="neúnosná","Postava je přetížená a nemůže bojovat ani chodit!","´")</f>
        <v>´</v>
      </c>
      <c r="F46" s="4"/>
      <c r="G46" s="4"/>
      <c r="H46" s="4"/>
      <c r="I46" s="4"/>
      <c r="J46" s="4"/>
      <c r="K46" s="95"/>
      <c r="R46" s="77"/>
      <c r="S46" s="77"/>
      <c r="T46" s="77"/>
      <c r="U46" s="77"/>
      <c r="V46" s="77"/>
      <c r="W46" s="196"/>
      <c r="X46" s="196" t="s">
        <v>150</v>
      </c>
      <c r="Y46" s="196"/>
      <c r="Z46" s="196">
        <v>14</v>
      </c>
      <c r="AA46" s="196"/>
      <c r="AB46" s="196"/>
      <c r="AC46" s="196"/>
      <c r="AD46" s="196"/>
      <c r="AE46" s="196">
        <v>15</v>
      </c>
      <c r="AF46" s="196" t="s">
        <v>172</v>
      </c>
      <c r="AG46" s="196">
        <v>-1</v>
      </c>
      <c r="AH46" s="196">
        <v>2</v>
      </c>
      <c r="AI46" s="196">
        <v>0</v>
      </c>
      <c r="AJ46" s="196">
        <v>-1</v>
      </c>
      <c r="AK46" s="196">
        <v>1</v>
      </c>
      <c r="AL46" s="196">
        <v>0</v>
      </c>
      <c r="AM46" s="196">
        <v>-1</v>
      </c>
      <c r="AN46" s="196">
        <v>180</v>
      </c>
      <c r="AO46" s="196">
        <v>60</v>
      </c>
      <c r="AP46" s="196"/>
      <c r="AQ46" s="196"/>
      <c r="AR46" s="196"/>
      <c r="AS46" s="196"/>
    </row>
    <row r="47" spans="1:45">
      <c r="A47" s="87">
        <f>LEN(B49)+LEN(C49)+LEN(D49)+LEN(E49)+LEN(F49)</f>
        <v>0</v>
      </c>
      <c r="B47" s="4"/>
      <c r="C47" s="4"/>
      <c r="D47" s="4"/>
      <c r="E47" s="4"/>
      <c r="F47" s="4"/>
      <c r="G47" s="4"/>
      <c r="H47" s="4"/>
      <c r="I47" s="4"/>
      <c r="J47" s="4"/>
      <c r="K47" s="95"/>
      <c r="R47" s="77"/>
      <c r="S47" s="77"/>
      <c r="T47" s="77"/>
      <c r="U47" s="77"/>
      <c r="V47" s="77"/>
      <c r="W47" s="196"/>
      <c r="X47" s="196" t="s">
        <v>151</v>
      </c>
      <c r="Y47" s="196"/>
      <c r="Z47" s="196">
        <v>15</v>
      </c>
      <c r="AA47" s="196"/>
      <c r="AB47" s="196"/>
      <c r="AC47" s="196"/>
      <c r="AD47" s="196"/>
      <c r="AE47" s="196">
        <v>16</v>
      </c>
      <c r="AF47" s="196" t="s">
        <v>173</v>
      </c>
      <c r="AG47" s="196">
        <v>-2</v>
      </c>
      <c r="AH47" s="196">
        <v>2</v>
      </c>
      <c r="AI47" s="196">
        <v>1</v>
      </c>
      <c r="AJ47" s="196">
        <v>-1</v>
      </c>
      <c r="AK47" s="196">
        <v>0</v>
      </c>
      <c r="AL47" s="196">
        <v>1</v>
      </c>
      <c r="AM47" s="196">
        <v>-2</v>
      </c>
      <c r="AN47" s="196">
        <v>175</v>
      </c>
      <c r="AO47" s="196">
        <v>55</v>
      </c>
      <c r="AP47" s="196"/>
      <c r="AQ47" s="196"/>
      <c r="AR47" s="196"/>
      <c r="AS47" s="196"/>
    </row>
    <row r="48" spans="1:45" ht="13.5" thickBot="1">
      <c r="A48" s="87"/>
      <c r="B48" s="43" t="s">
        <v>80</v>
      </c>
      <c r="C48" s="44" t="s">
        <v>81</v>
      </c>
      <c r="D48" s="44" t="s">
        <v>82</v>
      </c>
      <c r="E48" s="44" t="s">
        <v>83</v>
      </c>
      <c r="F48" s="44" t="s">
        <v>84</v>
      </c>
      <c r="G48" s="44" t="s">
        <v>119</v>
      </c>
      <c r="H48" s="44" t="s">
        <v>115</v>
      </c>
      <c r="I48" s="100" t="s">
        <v>85</v>
      </c>
      <c r="J48" s="101" t="s">
        <v>121</v>
      </c>
      <c r="K48" s="95"/>
      <c r="R48" s="77"/>
      <c r="S48" s="77"/>
      <c r="T48" s="77"/>
      <c r="U48" s="77"/>
      <c r="V48" s="77"/>
      <c r="W48" s="196"/>
      <c r="X48" s="196" t="s">
        <v>152</v>
      </c>
      <c r="Y48" s="196"/>
      <c r="Z48" s="196">
        <v>16</v>
      </c>
      <c r="AA48" s="196"/>
      <c r="AB48" s="196"/>
      <c r="AC48" s="196"/>
      <c r="AD48" s="196"/>
      <c r="AE48" s="36">
        <v>17</v>
      </c>
      <c r="AF48" s="196" t="s">
        <v>43</v>
      </c>
      <c r="AG48" s="196">
        <v>1</v>
      </c>
      <c r="AH48" s="196">
        <v>-1</v>
      </c>
      <c r="AI48" s="196">
        <v>0</v>
      </c>
      <c r="AJ48" s="196">
        <v>2</v>
      </c>
      <c r="AK48" s="196">
        <v>-1</v>
      </c>
      <c r="AL48" s="196">
        <v>-2</v>
      </c>
      <c r="AM48" s="196">
        <v>0</v>
      </c>
      <c r="AN48" s="196">
        <v>140</v>
      </c>
      <c r="AO48" s="196">
        <v>70</v>
      </c>
      <c r="AP48" s="196"/>
      <c r="AQ48" s="196"/>
      <c r="AR48" s="196"/>
      <c r="AS48" s="196"/>
    </row>
    <row r="49" spans="1:45" ht="13.5" thickBot="1">
      <c r="A49" s="87"/>
      <c r="B49" s="45"/>
      <c r="C49" s="35"/>
      <c r="D49" s="61"/>
      <c r="E49" s="35"/>
      <c r="F49" s="53"/>
      <c r="G49" s="146" t="s">
        <v>118</v>
      </c>
      <c r="H49" s="25" t="s">
        <v>107</v>
      </c>
      <c r="I49" s="58">
        <f>IF(J49&lt;1,0,IF(J49&lt;1,1,IF(J49&lt;3,1,IF(J49&lt;5,2,IF(J49&lt;7,3,IF(J49&lt;9,4,IF(J49&lt;11,5,"Nepoužitelná")))))))</f>
        <v>0</v>
      </c>
      <c r="J49" s="65">
        <f>-(C10-F50)</f>
        <v>-4</v>
      </c>
      <c r="K49" s="95"/>
      <c r="R49" s="77"/>
      <c r="S49" s="77"/>
      <c r="T49" s="77"/>
      <c r="U49" s="77"/>
      <c r="V49" s="77"/>
      <c r="W49" s="196"/>
      <c r="X49" s="196"/>
      <c r="Y49" s="196"/>
      <c r="Z49" s="196">
        <v>17</v>
      </c>
      <c r="AA49" s="196"/>
      <c r="AB49" s="196"/>
      <c r="AC49" s="196"/>
      <c r="AD49" s="196"/>
      <c r="AE49" s="196">
        <v>18</v>
      </c>
      <c r="AF49" s="196" t="s">
        <v>44</v>
      </c>
      <c r="AG49" s="196">
        <v>1</v>
      </c>
      <c r="AH49" s="196">
        <v>-1</v>
      </c>
      <c r="AI49" s="196">
        <v>-1</v>
      </c>
      <c r="AJ49" s="196">
        <v>2</v>
      </c>
      <c r="AK49" s="196">
        <v>0</v>
      </c>
      <c r="AL49" s="196">
        <v>-2</v>
      </c>
      <c r="AM49" s="196">
        <v>0</v>
      </c>
      <c r="AN49" s="196">
        <v>140</v>
      </c>
      <c r="AO49" s="196">
        <v>70</v>
      </c>
      <c r="AP49" s="196"/>
      <c r="AQ49" s="196"/>
      <c r="AR49" s="196"/>
      <c r="AS49" s="196"/>
    </row>
    <row r="50" spans="1:45">
      <c r="A50" s="87"/>
      <c r="B50" s="62"/>
      <c r="C50" s="49" t="s">
        <v>143</v>
      </c>
      <c r="D50" s="63" t="s">
        <v>139</v>
      </c>
      <c r="E50" s="47"/>
      <c r="F50" s="47">
        <f>F49+IF(D50="nedominantní ruka",2,IF(D50="obouručně",-2,0))</f>
        <v>0</v>
      </c>
      <c r="G50" s="47">
        <f>IF(J49&lt;2,0,IF(J49&lt;2,1,IF(J49&lt;4,1,IF(J49&lt;6,2,IF(J49&lt;8,3,IF(J49&lt;10,4,IF(J49&lt;11,5,"Nepoužitelná")))))))</f>
        <v>0</v>
      </c>
      <c r="H50" s="47"/>
      <c r="I50" s="47"/>
      <c r="J50" s="102" t="str">
        <f>IF(-J49&lt;1,IF(-J49=0,"Síla nechybí","Síla chybí"),"Síla nechybí")</f>
        <v>Síla nechybí</v>
      </c>
      <c r="K50" s="95"/>
      <c r="M50" s="4"/>
      <c r="O50" s="4"/>
      <c r="R50" s="77"/>
      <c r="S50" s="77"/>
      <c r="T50" s="77"/>
      <c r="U50" s="77"/>
      <c r="V50" s="77"/>
      <c r="W50" s="196"/>
      <c r="X50" s="196" t="s">
        <v>60</v>
      </c>
      <c r="Y50" s="196"/>
      <c r="Z50" s="196">
        <v>18</v>
      </c>
      <c r="AA50" s="196"/>
      <c r="AB50" s="196"/>
      <c r="AC50" s="196"/>
      <c r="AD50" s="196"/>
      <c r="AE50" s="196">
        <v>19</v>
      </c>
      <c r="AF50" s="196" t="s">
        <v>174</v>
      </c>
      <c r="AG50" s="196">
        <v>1</v>
      </c>
      <c r="AH50" s="196">
        <v>-1</v>
      </c>
      <c r="AI50" s="196">
        <v>0</v>
      </c>
      <c r="AJ50" s="196">
        <v>1</v>
      </c>
      <c r="AK50" s="196">
        <v>-1</v>
      </c>
      <c r="AL50" s="196">
        <v>-1</v>
      </c>
      <c r="AM50" s="196">
        <v>0</v>
      </c>
      <c r="AN50" s="196">
        <v>140</v>
      </c>
      <c r="AO50" s="196">
        <v>70</v>
      </c>
      <c r="AP50" s="196"/>
      <c r="AQ50" s="196"/>
      <c r="AR50" s="196"/>
      <c r="AS50" s="196"/>
    </row>
    <row r="51" spans="1:45">
      <c r="A51" s="87">
        <f>LEN(B54)+LEN(C54)+LEN(D54)+LEN(E54)+LEN(F54)</f>
        <v>0</v>
      </c>
      <c r="D51" s="4"/>
      <c r="E51" s="4"/>
      <c r="F51" s="4"/>
      <c r="G51" s="4"/>
      <c r="H51" s="4"/>
      <c r="I51" s="4"/>
      <c r="J51" s="4"/>
      <c r="K51" s="95"/>
      <c r="R51" s="77"/>
      <c r="S51" s="77"/>
      <c r="T51" s="77"/>
      <c r="U51" s="77"/>
      <c r="V51" s="77"/>
      <c r="W51" s="196"/>
      <c r="X51" s="196" t="s">
        <v>78</v>
      </c>
      <c r="Y51" s="196"/>
      <c r="Z51" s="196">
        <v>19</v>
      </c>
      <c r="AA51" s="196"/>
      <c r="AB51" s="196"/>
      <c r="AC51" s="196"/>
      <c r="AD51" s="196"/>
      <c r="AE51" s="196">
        <v>20</v>
      </c>
      <c r="AF51" s="196" t="s">
        <v>175</v>
      </c>
      <c r="AG51" s="196">
        <v>1</v>
      </c>
      <c r="AH51" s="196">
        <v>-1</v>
      </c>
      <c r="AI51" s="196">
        <v>-1</v>
      </c>
      <c r="AJ51" s="196">
        <v>1</v>
      </c>
      <c r="AK51" s="196">
        <v>0</v>
      </c>
      <c r="AL51" s="196">
        <v>-1</v>
      </c>
      <c r="AM51" s="196">
        <v>0</v>
      </c>
      <c r="AN51" s="196">
        <v>140</v>
      </c>
      <c r="AO51" s="196">
        <v>70</v>
      </c>
      <c r="AP51" s="196"/>
      <c r="AQ51" s="196"/>
      <c r="AR51" s="196"/>
      <c r="AS51" s="196"/>
    </row>
    <row r="52" spans="1:45">
      <c r="A52" s="88"/>
      <c r="D52" s="4"/>
      <c r="E52" s="4"/>
      <c r="F52" s="4"/>
      <c r="G52" s="4"/>
      <c r="H52" s="4"/>
      <c r="I52" s="4"/>
      <c r="J52" s="4"/>
      <c r="K52" s="95"/>
      <c r="R52" s="77"/>
      <c r="S52" s="77"/>
      <c r="T52" s="77"/>
      <c r="U52" s="77"/>
      <c r="V52" s="77"/>
      <c r="W52" s="196"/>
      <c r="X52" s="196" t="s">
        <v>191</v>
      </c>
      <c r="Y52" s="196"/>
      <c r="Z52" s="196">
        <v>20</v>
      </c>
      <c r="AA52" s="196"/>
      <c r="AB52" s="196"/>
      <c r="AC52" s="196"/>
      <c r="AD52" s="196"/>
      <c r="AE52" s="36">
        <v>21</v>
      </c>
      <c r="AF52" s="196" t="s">
        <v>176</v>
      </c>
      <c r="AG52" s="196">
        <v>2</v>
      </c>
      <c r="AH52" s="196">
        <v>-1</v>
      </c>
      <c r="AI52" s="196">
        <v>0</v>
      </c>
      <c r="AJ52" s="196">
        <v>2</v>
      </c>
      <c r="AK52" s="196">
        <v>-2</v>
      </c>
      <c r="AL52" s="196">
        <v>-2</v>
      </c>
      <c r="AM52" s="196">
        <v>0</v>
      </c>
      <c r="AN52" s="196">
        <v>140</v>
      </c>
      <c r="AO52" s="196">
        <v>70</v>
      </c>
      <c r="AP52" s="196"/>
      <c r="AQ52" s="196"/>
      <c r="AR52" s="196"/>
      <c r="AS52" s="196"/>
    </row>
    <row r="53" spans="1:45" ht="13.5" thickBot="1">
      <c r="A53" s="88"/>
      <c r="B53" s="43" t="s">
        <v>137</v>
      </c>
      <c r="C53" s="44" t="s">
        <v>81</v>
      </c>
      <c r="D53" s="44" t="s">
        <v>82</v>
      </c>
      <c r="E53" s="44" t="s">
        <v>83</v>
      </c>
      <c r="F53" s="44" t="s">
        <v>84</v>
      </c>
      <c r="G53" s="44" t="s">
        <v>119</v>
      </c>
      <c r="H53" s="44" t="s">
        <v>115</v>
      </c>
      <c r="I53" s="100" t="s">
        <v>85</v>
      </c>
      <c r="J53" s="101" t="s">
        <v>121</v>
      </c>
      <c r="K53" s="95"/>
      <c r="R53" s="77"/>
      <c r="S53" s="77"/>
      <c r="T53" s="77"/>
      <c r="U53" s="77"/>
      <c r="V53" s="77"/>
      <c r="W53" s="196"/>
      <c r="X53" s="196" t="s">
        <v>65</v>
      </c>
      <c r="Y53" s="197"/>
      <c r="Z53" s="197">
        <v>21</v>
      </c>
      <c r="AA53" s="197"/>
      <c r="AB53" s="196"/>
      <c r="AC53" s="196"/>
      <c r="AD53" s="196"/>
      <c r="AE53" s="196">
        <v>22</v>
      </c>
      <c r="AF53" s="196" t="s">
        <v>177</v>
      </c>
      <c r="AG53" s="196">
        <v>2</v>
      </c>
      <c r="AH53" s="196">
        <v>-1</v>
      </c>
      <c r="AI53" s="196">
        <v>-1</v>
      </c>
      <c r="AJ53" s="196">
        <v>2</v>
      </c>
      <c r="AK53" s="196">
        <v>-1</v>
      </c>
      <c r="AL53" s="196">
        <v>-2</v>
      </c>
      <c r="AM53" s="196">
        <v>0</v>
      </c>
      <c r="AN53" s="196">
        <v>140</v>
      </c>
      <c r="AO53" s="196">
        <v>70</v>
      </c>
      <c r="AP53" s="196"/>
      <c r="AQ53" s="196"/>
      <c r="AR53" s="196"/>
      <c r="AS53" s="196"/>
    </row>
    <row r="54" spans="1:45" ht="13.5" thickBot="1">
      <c r="A54" s="88"/>
      <c r="B54" s="45"/>
      <c r="C54" s="61"/>
      <c r="D54" s="35"/>
      <c r="E54" s="61"/>
      <c r="F54" s="53"/>
      <c r="G54" s="146" t="s">
        <v>118</v>
      </c>
      <c r="H54" s="25" t="s">
        <v>107</v>
      </c>
      <c r="I54" s="58">
        <f>IF(J54&lt;1,0,IF(J54&lt;1,1,IF(J54&lt;3,1,IF(J54&lt;5,2,IF(J54&lt;7,3,IF(J54&lt;9,4,IF(J54&lt;11,5,"Nepoužitelná")))))))</f>
        <v>0</v>
      </c>
      <c r="J54" s="65">
        <f>-(C10-F55)</f>
        <v>-2</v>
      </c>
      <c r="K54" s="95"/>
      <c r="R54" s="77"/>
      <c r="S54" s="77"/>
      <c r="T54" s="77"/>
      <c r="U54" s="77"/>
      <c r="V54" s="77"/>
      <c r="W54" s="196"/>
      <c r="X54" s="196" t="s">
        <v>76</v>
      </c>
      <c r="Y54" s="197"/>
      <c r="Z54" s="197" t="s">
        <v>107</v>
      </c>
      <c r="AA54" s="197"/>
      <c r="AB54" s="196"/>
      <c r="AC54" s="196"/>
      <c r="AD54" s="196"/>
      <c r="AE54" s="196">
        <v>23</v>
      </c>
      <c r="AF54" s="196" t="s">
        <v>28</v>
      </c>
      <c r="AG54" s="196">
        <v>-3</v>
      </c>
      <c r="AH54" s="196">
        <v>1</v>
      </c>
      <c r="AI54" s="196">
        <v>1</v>
      </c>
      <c r="AJ54" s="196">
        <v>0</v>
      </c>
      <c r="AK54" s="196">
        <v>-1</v>
      </c>
      <c r="AL54" s="196">
        <v>2</v>
      </c>
      <c r="AM54" s="196">
        <v>-2</v>
      </c>
      <c r="AN54" s="196">
        <v>110</v>
      </c>
      <c r="AO54" s="196">
        <v>40</v>
      </c>
      <c r="AP54" s="196"/>
      <c r="AQ54" s="196"/>
      <c r="AR54" s="196"/>
      <c r="AS54" s="196"/>
    </row>
    <row r="55" spans="1:45">
      <c r="A55" s="87">
        <f>LEN(B59)+LEN(C59)+LEN(E59)+LEN(D59)</f>
        <v>0</v>
      </c>
      <c r="B55" s="48" t="s">
        <v>138</v>
      </c>
      <c r="C55" s="63" t="s">
        <v>142</v>
      </c>
      <c r="D55" s="81" t="s">
        <v>143</v>
      </c>
      <c r="E55" s="63" t="s">
        <v>140</v>
      </c>
      <c r="F55" s="47">
        <f>F54+IF(E55="nedominantní ruka",2,IF(D50="obouručně",-2,0))</f>
        <v>2</v>
      </c>
      <c r="G55" s="47">
        <f>IF(J54&lt;2,0,IF(J54&lt;2,1,IF(J54&lt;4,1,IF(J54&lt;6,2,IF(J54&lt;8,3,IF(J54&lt;10,4,IF(J54&lt;11,5,"Nepoužitelná")))))))</f>
        <v>0</v>
      </c>
      <c r="H55" s="64"/>
      <c r="I55" s="47"/>
      <c r="J55" s="102" t="str">
        <f>IF(-J54&lt;1,IF(-J54=0,"Síla nechybí","Síla chybí"),"Síla nechybí")</f>
        <v>Síla nechybí</v>
      </c>
      <c r="K55" s="95"/>
      <c r="R55" s="77"/>
      <c r="S55" s="77"/>
      <c r="T55" s="77"/>
      <c r="U55" s="77"/>
      <c r="V55" s="77"/>
      <c r="W55" s="196"/>
      <c r="X55" s="196" t="s">
        <v>192</v>
      </c>
      <c r="Y55" s="197"/>
      <c r="Z55" s="197" t="s">
        <v>106</v>
      </c>
      <c r="AA55" s="197"/>
      <c r="AB55" s="196"/>
      <c r="AC55" s="196"/>
      <c r="AD55" s="196"/>
      <c r="AE55" s="196">
        <v>24</v>
      </c>
      <c r="AF55" s="196" t="s">
        <v>50</v>
      </c>
      <c r="AG55" s="196">
        <v>-4</v>
      </c>
      <c r="AH55" s="196">
        <v>2</v>
      </c>
      <c r="AI55" s="196">
        <v>0</v>
      </c>
      <c r="AJ55" s="196">
        <v>0</v>
      </c>
      <c r="AK55" s="196">
        <v>-1</v>
      </c>
      <c r="AL55" s="196">
        <v>3</v>
      </c>
      <c r="AM55" s="196">
        <v>-3</v>
      </c>
      <c r="AN55" s="196">
        <v>110</v>
      </c>
      <c r="AO55" s="196">
        <v>40</v>
      </c>
      <c r="AP55" s="196"/>
      <c r="AQ55" s="196"/>
      <c r="AR55" s="196"/>
      <c r="AS55" s="196"/>
    </row>
    <row r="56" spans="1:45">
      <c r="A56" s="88"/>
      <c r="D56" s="4"/>
      <c r="E56" s="4"/>
      <c r="F56" s="4"/>
      <c r="G56" s="4"/>
      <c r="H56" s="4"/>
      <c r="I56" s="4"/>
      <c r="J56" s="4"/>
      <c r="K56" s="95"/>
      <c r="R56" s="77"/>
      <c r="S56" s="77"/>
      <c r="T56" s="77"/>
      <c r="U56" s="77"/>
      <c r="V56" s="77"/>
      <c r="W56" s="196"/>
      <c r="X56" s="196" t="s">
        <v>193</v>
      </c>
      <c r="Y56" s="197"/>
      <c r="Z56" s="197" t="s">
        <v>108</v>
      </c>
      <c r="AA56" s="197"/>
      <c r="AB56" s="196"/>
      <c r="AC56" s="196"/>
      <c r="AD56" s="196"/>
      <c r="AE56" s="36">
        <v>25</v>
      </c>
      <c r="AF56" s="196" t="s">
        <v>178</v>
      </c>
      <c r="AG56" s="196">
        <v>3</v>
      </c>
      <c r="AH56" s="196">
        <v>-2</v>
      </c>
      <c r="AI56" s="196">
        <v>-1</v>
      </c>
      <c r="AJ56" s="196">
        <v>1</v>
      </c>
      <c r="AK56" s="196">
        <v>-3</v>
      </c>
      <c r="AL56" s="196">
        <v>-1</v>
      </c>
      <c r="AM56" s="196">
        <v>3</v>
      </c>
      <c r="AN56" s="196">
        <v>230</v>
      </c>
      <c r="AO56" s="196">
        <v>135</v>
      </c>
      <c r="AP56" s="196"/>
      <c r="AQ56" s="196"/>
      <c r="AR56" s="196"/>
      <c r="AS56" s="196"/>
    </row>
    <row r="57" spans="1:45">
      <c r="A57" s="90"/>
      <c r="B57" s="4"/>
      <c r="C57" s="4"/>
      <c r="D57" s="4"/>
      <c r="E57" s="4"/>
      <c r="F57" s="4"/>
      <c r="G57" s="4"/>
      <c r="H57" s="4"/>
      <c r="I57" s="4"/>
      <c r="J57" s="4"/>
      <c r="K57" s="95"/>
      <c r="R57" s="77"/>
      <c r="S57" s="77"/>
      <c r="T57" s="77"/>
      <c r="U57" s="77"/>
      <c r="V57" s="77"/>
      <c r="W57" s="196"/>
      <c r="X57" s="196" t="s">
        <v>194</v>
      </c>
      <c r="Y57" s="197"/>
      <c r="Z57" s="197" t="s">
        <v>109</v>
      </c>
      <c r="AA57" s="197"/>
      <c r="AB57" s="196"/>
      <c r="AC57" s="196"/>
      <c r="AD57" s="196"/>
      <c r="AE57" s="196">
        <v>26</v>
      </c>
      <c r="AF57" s="196" t="s">
        <v>179</v>
      </c>
      <c r="AG57" s="196">
        <v>2</v>
      </c>
      <c r="AH57" s="196">
        <v>-1</v>
      </c>
      <c r="AI57" s="196">
        <v>-1</v>
      </c>
      <c r="AJ57" s="196">
        <v>0</v>
      </c>
      <c r="AK57" s="196">
        <v>-3</v>
      </c>
      <c r="AL57" s="196">
        <v>0</v>
      </c>
      <c r="AM57" s="196">
        <v>2</v>
      </c>
      <c r="AN57" s="196"/>
      <c r="AO57" s="196"/>
      <c r="AP57" s="196"/>
      <c r="AQ57" s="196"/>
      <c r="AR57" s="196"/>
      <c r="AS57" s="196"/>
    </row>
    <row r="58" spans="1:45" ht="13.5" thickBot="1">
      <c r="A58" s="90"/>
      <c r="B58" s="43" t="s">
        <v>110</v>
      </c>
      <c r="C58" s="44" t="s">
        <v>83</v>
      </c>
      <c r="D58" s="44" t="s">
        <v>114</v>
      </c>
      <c r="E58" s="44" t="s">
        <v>84</v>
      </c>
      <c r="F58" s="44" t="s">
        <v>117</v>
      </c>
      <c r="G58" s="100" t="s">
        <v>85</v>
      </c>
      <c r="H58" s="101" t="s">
        <v>121</v>
      </c>
      <c r="I58" s="4"/>
      <c r="J58" s="4"/>
      <c r="K58" s="95"/>
      <c r="R58" s="77"/>
      <c r="S58" s="77"/>
      <c r="T58" s="77"/>
      <c r="U58" s="77"/>
      <c r="V58" s="77"/>
      <c r="W58" s="196"/>
      <c r="X58" s="196" t="s">
        <v>195</v>
      </c>
      <c r="Y58" s="197"/>
      <c r="Z58" s="197" t="s">
        <v>142</v>
      </c>
      <c r="AA58" s="197"/>
      <c r="AB58" s="196"/>
      <c r="AC58" s="196"/>
      <c r="AD58" s="196"/>
      <c r="AE58" s="196">
        <v>27</v>
      </c>
      <c r="AF58" s="196" t="s">
        <v>52</v>
      </c>
      <c r="AG58" s="196">
        <v>3</v>
      </c>
      <c r="AH58" s="196">
        <v>-1</v>
      </c>
      <c r="AI58" s="196">
        <v>-2</v>
      </c>
      <c r="AJ58" s="196">
        <v>2</v>
      </c>
      <c r="AK58" s="196">
        <v>-3</v>
      </c>
      <c r="AL58" s="196">
        <v>-2</v>
      </c>
      <c r="AM58" s="196">
        <v>3</v>
      </c>
      <c r="AN58" s="196">
        <v>245</v>
      </c>
      <c r="AO58" s="196">
        <v>145</v>
      </c>
      <c r="AP58" s="196"/>
      <c r="AQ58" s="196"/>
      <c r="AR58" s="196"/>
      <c r="AS58" s="196"/>
    </row>
    <row r="59" spans="1:45" ht="13.5" thickBot="1">
      <c r="A59" s="88"/>
      <c r="B59" s="45"/>
      <c r="C59" s="35"/>
      <c r="D59" s="53"/>
      <c r="E59" s="53"/>
      <c r="F59" s="145" t="s">
        <v>107</v>
      </c>
      <c r="G59" s="58">
        <f>IF(H59&lt;1,0,IF(H59&lt;1,1,IF(H59&lt;3,1,IF(H59&lt;5,2,IF(H59&lt;7,3,IF(H59&lt;9,4,IF(H59&lt;11,5,"Nepoužitelný")))))))</f>
        <v>0</v>
      </c>
      <c r="H59" s="65">
        <f>-(C10-E59)</f>
        <v>-4</v>
      </c>
      <c r="I59" s="4"/>
      <c r="J59" s="4"/>
      <c r="K59" s="95"/>
      <c r="R59" s="77"/>
      <c r="S59" s="77"/>
      <c r="T59" s="77"/>
      <c r="U59" s="77"/>
      <c r="V59" s="77"/>
      <c r="W59" s="196"/>
      <c r="X59" s="196" t="s">
        <v>196</v>
      </c>
      <c r="Y59" s="197"/>
      <c r="Z59" s="197"/>
      <c r="AA59" s="197"/>
      <c r="AB59" s="196"/>
      <c r="AC59" s="196"/>
      <c r="AD59" s="196"/>
      <c r="AE59" s="196">
        <v>28</v>
      </c>
      <c r="AF59" s="196" t="s">
        <v>53</v>
      </c>
      <c r="AG59" s="196">
        <v>2</v>
      </c>
      <c r="AH59" s="196">
        <v>0</v>
      </c>
      <c r="AI59" s="196">
        <v>-2</v>
      </c>
      <c r="AJ59" s="196">
        <v>1</v>
      </c>
      <c r="AK59" s="196">
        <v>-3</v>
      </c>
      <c r="AL59" s="196">
        <v>-1</v>
      </c>
      <c r="AM59" s="196">
        <v>2</v>
      </c>
      <c r="AN59" s="196"/>
      <c r="AO59" s="196"/>
      <c r="AP59" s="196"/>
      <c r="AQ59" s="196"/>
      <c r="AR59" s="196"/>
      <c r="AS59" s="196"/>
    </row>
    <row r="60" spans="1:45">
      <c r="A60" s="88"/>
      <c r="B60" s="76">
        <f>IF(C55="2. stupeň",-2,IF(C55="0. stupeň",-6,IF(C55="1. stupeň",-4,0)))</f>
        <v>0</v>
      </c>
      <c r="C60" s="76">
        <f>IF(C55="2. stupeň",-1,IF(C55="0. stupeň",-4,IF(C55="1. stupeň",-2,0)))</f>
        <v>0</v>
      </c>
      <c r="D60" s="47"/>
      <c r="E60" s="47"/>
      <c r="F60" s="47"/>
      <c r="G60" s="47"/>
      <c r="H60" s="102" t="str">
        <f>IF(-H59&lt;1,IF(-H59=0,"Síla nechybí","Síla chybí"),"Síla nechybí")</f>
        <v>Síla nechybí</v>
      </c>
      <c r="I60" s="4"/>
      <c r="J60" s="4"/>
      <c r="K60" s="95"/>
      <c r="R60" s="77"/>
      <c r="S60" s="77"/>
      <c r="T60" s="77"/>
      <c r="U60" s="77"/>
      <c r="V60" s="77"/>
      <c r="W60" s="196"/>
      <c r="X60" s="196" t="s">
        <v>197</v>
      </c>
      <c r="Y60" s="196"/>
      <c r="Z60" s="196"/>
      <c r="AA60" s="196"/>
      <c r="AB60" s="196"/>
      <c r="AC60" s="196"/>
      <c r="AD60" s="196"/>
      <c r="AE60" s="36">
        <v>29</v>
      </c>
      <c r="AF60" s="196" t="s">
        <v>180</v>
      </c>
      <c r="AG60" s="196">
        <v>3</v>
      </c>
      <c r="AH60" s="196">
        <v>-1</v>
      </c>
      <c r="AI60" s="196">
        <v>-1</v>
      </c>
      <c r="AJ60" s="196">
        <v>1</v>
      </c>
      <c r="AK60" s="196">
        <v>-3</v>
      </c>
      <c r="AL60" s="196">
        <v>-2</v>
      </c>
      <c r="AM60" s="196">
        <v>3</v>
      </c>
      <c r="AN60" s="196">
        <v>235</v>
      </c>
      <c r="AO60" s="196">
        <v>130</v>
      </c>
      <c r="AP60" s="196"/>
      <c r="AQ60" s="196"/>
      <c r="AR60" s="196"/>
      <c r="AS60" s="196"/>
    </row>
    <row r="61" spans="1:45">
      <c r="A61" s="88"/>
      <c r="B61" s="77"/>
      <c r="C61" s="4"/>
      <c r="D61" s="4"/>
      <c r="E61" s="4"/>
      <c r="F61" s="4"/>
      <c r="G61" s="4"/>
      <c r="H61" s="4"/>
      <c r="I61" s="4"/>
      <c r="J61" s="4"/>
      <c r="K61" s="95"/>
      <c r="R61" s="77"/>
      <c r="S61" s="77"/>
      <c r="T61" s="77"/>
      <c r="U61" s="77"/>
      <c r="V61" s="77"/>
      <c r="W61" s="196"/>
      <c r="X61" s="196" t="s">
        <v>63</v>
      </c>
      <c r="Y61" s="196"/>
      <c r="Z61" s="196"/>
      <c r="AA61" s="196"/>
      <c r="AB61" s="196"/>
      <c r="AC61" s="196"/>
      <c r="AD61" s="196"/>
      <c r="AE61" s="196">
        <v>30</v>
      </c>
      <c r="AF61" s="196" t="s">
        <v>181</v>
      </c>
      <c r="AG61" s="196">
        <v>2</v>
      </c>
      <c r="AH61" s="196">
        <v>0</v>
      </c>
      <c r="AI61" s="196">
        <v>-1</v>
      </c>
      <c r="AJ61" s="196">
        <v>0</v>
      </c>
      <c r="AK61" s="196">
        <v>-3</v>
      </c>
      <c r="AL61" s="196">
        <v>-1</v>
      </c>
      <c r="AM61" s="196">
        <v>2</v>
      </c>
      <c r="AN61" s="196"/>
      <c r="AO61" s="196"/>
      <c r="AP61" s="196"/>
      <c r="AQ61" s="196"/>
      <c r="AR61" s="196"/>
      <c r="AS61" s="196"/>
    </row>
    <row r="62" spans="1:45" ht="13.5" thickBot="1">
      <c r="A62" s="88"/>
      <c r="D62" s="4"/>
      <c r="E62" s="4"/>
      <c r="F62" s="4"/>
      <c r="G62" s="4"/>
      <c r="H62" s="4"/>
      <c r="I62" s="4"/>
      <c r="J62" s="4"/>
      <c r="K62" s="95"/>
      <c r="R62" s="77"/>
      <c r="S62" s="77"/>
      <c r="T62" s="77"/>
      <c r="U62" s="77"/>
      <c r="V62" s="77"/>
      <c r="W62" s="196"/>
      <c r="X62" s="196" t="s">
        <v>198</v>
      </c>
      <c r="Y62" s="196"/>
      <c r="Z62" s="196"/>
      <c r="AA62" s="196"/>
      <c r="AB62" s="196"/>
      <c r="AC62" s="196"/>
      <c r="AD62" s="196"/>
      <c r="AE62" s="196">
        <v>31</v>
      </c>
      <c r="AF62" s="196" t="s">
        <v>26</v>
      </c>
      <c r="AG62" s="196">
        <v>0</v>
      </c>
      <c r="AH62" s="196">
        <v>2</v>
      </c>
      <c r="AI62" s="196">
        <v>0</v>
      </c>
      <c r="AJ62" s="196">
        <v>-1</v>
      </c>
      <c r="AK62" s="196">
        <v>0</v>
      </c>
      <c r="AL62" s="196">
        <v>-2</v>
      </c>
      <c r="AM62" s="196">
        <v>-1</v>
      </c>
      <c r="AN62" s="196">
        <v>160</v>
      </c>
      <c r="AO62" s="196">
        <v>60</v>
      </c>
      <c r="AP62" s="196"/>
      <c r="AQ62" s="196"/>
      <c r="AR62" s="196"/>
      <c r="AS62" s="196"/>
    </row>
    <row r="63" spans="1:45" ht="13.5" thickBot="1">
      <c r="A63" s="88"/>
      <c r="B63" s="96" t="s">
        <v>105</v>
      </c>
      <c r="C63" s="97" t="s">
        <v>15</v>
      </c>
      <c r="D63" s="97" t="s">
        <v>135</v>
      </c>
      <c r="E63" s="97" t="s">
        <v>83</v>
      </c>
      <c r="F63" s="98" t="s">
        <v>136</v>
      </c>
      <c r="G63" s="4"/>
      <c r="H63" s="4"/>
      <c r="I63" s="148" t="s">
        <v>134</v>
      </c>
      <c r="J63" s="156"/>
      <c r="K63" s="156"/>
      <c r="R63" s="77"/>
      <c r="S63" s="77"/>
      <c r="T63" s="77"/>
      <c r="U63" s="77"/>
      <c r="V63" s="77"/>
      <c r="W63" s="196"/>
      <c r="X63" s="196" t="s">
        <v>199</v>
      </c>
      <c r="Y63" s="196"/>
      <c r="Z63" s="196"/>
      <c r="AA63" s="196"/>
      <c r="AB63" s="196"/>
      <c r="AC63" s="196"/>
      <c r="AD63" s="196"/>
      <c r="AE63" s="196">
        <v>32</v>
      </c>
      <c r="AF63" s="196" t="s">
        <v>45</v>
      </c>
      <c r="AG63" s="196">
        <v>-1</v>
      </c>
      <c r="AH63" s="196">
        <v>2</v>
      </c>
      <c r="AI63" s="196">
        <v>0</v>
      </c>
      <c r="AJ63" s="196">
        <v>0</v>
      </c>
      <c r="AK63" s="196">
        <v>0</v>
      </c>
      <c r="AL63" s="196">
        <v>-2</v>
      </c>
      <c r="AM63" s="196">
        <v>-2</v>
      </c>
      <c r="AN63" s="196"/>
      <c r="AO63" s="196"/>
      <c r="AP63" s="196"/>
      <c r="AQ63" s="196"/>
      <c r="AR63" s="196"/>
      <c r="AS63" s="196"/>
    </row>
    <row r="64" spans="1:45" ht="13.5" thickBot="1">
      <c r="A64" s="88"/>
      <c r="B64" s="66">
        <f>C43+IF(C49&gt;C54,C49,C54)+IF(J67="Není",0,J67)+IF(LEN(F44)=0,0,(F44+IF(H44="0. stupeň",0,IF(H44="1. stupeň",1,IF(H44="2. stupeň",2,3)))))+(D59+IF(F59="0. stupeň",0,IF(F59="1. stupeň",1,IF(F59="2. stupeň",2,3))))-I49-G59+B60</f>
        <v>0</v>
      </c>
      <c r="C64" s="67">
        <f>C44+J65-G50+C60+D49</f>
        <v>-4</v>
      </c>
      <c r="D64" s="67">
        <f>C46-I44+C60</f>
        <v>0</v>
      </c>
      <c r="E64" s="68">
        <f>E49+J65</f>
        <v>-4</v>
      </c>
      <c r="F64" s="69">
        <f>IF(A55=0,0,C59+IF(F59="0. stupeň",-2,IF(F59="1. stupeň",-1,IF(F59="2. stupeň",-1,0))))</f>
        <v>0</v>
      </c>
      <c r="G64" s="4"/>
      <c r="H64" s="4"/>
      <c r="I64" s="95" t="s">
        <v>122</v>
      </c>
      <c r="J64" s="58">
        <f>IF($H$49="0. stupeň",-6,IF($H$49="1. stupeň",-4,IF($H$49="2. stupeň",-2,0)))</f>
        <v>-6</v>
      </c>
      <c r="K64" s="95"/>
      <c r="R64" s="77"/>
      <c r="S64" s="77"/>
      <c r="T64" s="77"/>
      <c r="U64" s="77"/>
      <c r="V64" s="77"/>
      <c r="W64" s="196"/>
      <c r="X64" s="196" t="s">
        <v>73</v>
      </c>
      <c r="Y64" s="196"/>
      <c r="Z64" s="196"/>
      <c r="AA64" s="196"/>
      <c r="AB64" s="196"/>
      <c r="AC64" s="196"/>
      <c r="AD64" s="196"/>
      <c r="AE64" s="36">
        <v>33</v>
      </c>
      <c r="AF64" s="196" t="s">
        <v>46</v>
      </c>
      <c r="AG64" s="196">
        <v>1</v>
      </c>
      <c r="AH64" s="196">
        <v>1</v>
      </c>
      <c r="AI64" s="196">
        <v>-1</v>
      </c>
      <c r="AJ64" s="196">
        <v>0</v>
      </c>
      <c r="AK64" s="196">
        <v>0</v>
      </c>
      <c r="AL64" s="196">
        <v>-2</v>
      </c>
      <c r="AM64" s="196">
        <v>1</v>
      </c>
      <c r="AN64" s="196">
        <v>180</v>
      </c>
      <c r="AO64" s="196">
        <v>90</v>
      </c>
      <c r="AP64" s="196"/>
      <c r="AQ64" s="196"/>
      <c r="AR64" s="196"/>
      <c r="AS64" s="196"/>
    </row>
    <row r="65" spans="1:45" ht="13.5" thickBot="1">
      <c r="A65" s="88"/>
      <c r="B65" s="85" t="str">
        <f>E46</f>
        <v>´</v>
      </c>
      <c r="C65" s="6"/>
      <c r="D65" s="6"/>
      <c r="E65" s="6"/>
      <c r="F65" s="71"/>
      <c r="G65" s="4"/>
      <c r="H65" s="4"/>
      <c r="I65" s="95" t="s">
        <v>123</v>
      </c>
      <c r="J65" s="58">
        <f>IF($H$49="0. stupeň",-4,IF($H$49="1. stupeň",-2,IF($H$49="2. stupeň",-1,0)))</f>
        <v>-4</v>
      </c>
      <c r="K65" s="95"/>
      <c r="R65" s="77"/>
      <c r="S65" s="77"/>
      <c r="T65" s="77"/>
      <c r="U65" s="77"/>
      <c r="V65" s="77"/>
      <c r="W65" s="196"/>
      <c r="X65" s="196" t="s">
        <v>153</v>
      </c>
      <c r="Y65" s="196"/>
      <c r="Z65" s="196"/>
      <c r="AA65" s="196"/>
      <c r="AB65" s="196"/>
      <c r="AC65" s="196"/>
      <c r="AD65" s="196"/>
      <c r="AE65" s="196">
        <v>34</v>
      </c>
      <c r="AF65" s="196" t="s">
        <v>47</v>
      </c>
      <c r="AG65" s="196">
        <v>0</v>
      </c>
      <c r="AH65" s="196">
        <v>1</v>
      </c>
      <c r="AI65" s="196">
        <v>-1</v>
      </c>
      <c r="AJ65" s="196">
        <v>1</v>
      </c>
      <c r="AK65" s="196">
        <v>0</v>
      </c>
      <c r="AL65" s="196">
        <v>-2</v>
      </c>
      <c r="AM65" s="196">
        <v>0</v>
      </c>
      <c r="AN65" s="196"/>
      <c r="AO65" s="196"/>
      <c r="AP65" s="196"/>
      <c r="AQ65" s="196"/>
      <c r="AR65" s="196"/>
      <c r="AS65" s="196"/>
    </row>
    <row r="66" spans="1:45" ht="13.5" thickBot="1">
      <c r="A66" s="88"/>
      <c r="B66" s="99" t="s">
        <v>137</v>
      </c>
      <c r="C66" s="82" t="str">
        <f>IF(A51=0,"Není",C44+J68-G55+C60)</f>
        <v>Není</v>
      </c>
      <c r="D66" s="83" t="str">
        <f>IF(A51=0,"Není",C46-I44+C60)</f>
        <v>Není</v>
      </c>
      <c r="E66" s="84" t="str">
        <f>IF(A51=0,"Není",E54+J68)</f>
        <v>Není</v>
      </c>
      <c r="F66" s="72"/>
      <c r="G66" s="143"/>
      <c r="H66" s="4"/>
      <c r="I66" s="95" t="s">
        <v>133</v>
      </c>
      <c r="J66" s="95"/>
      <c r="K66" s="95"/>
      <c r="R66" s="77"/>
      <c r="S66" s="77"/>
      <c r="T66" s="77"/>
      <c r="U66" s="77"/>
      <c r="V66" s="77"/>
      <c r="W66" s="196"/>
      <c r="X66" s="196" t="s">
        <v>200</v>
      </c>
      <c r="Y66" s="196"/>
      <c r="Z66" s="196"/>
      <c r="AA66" s="196"/>
      <c r="AB66" s="196"/>
      <c r="AC66" s="196"/>
      <c r="AD66" s="196"/>
      <c r="AE66" s="196">
        <v>35</v>
      </c>
      <c r="AF66" s="196" t="s">
        <v>48</v>
      </c>
      <c r="AG66" s="196">
        <v>-1</v>
      </c>
      <c r="AH66" s="196">
        <v>2</v>
      </c>
      <c r="AI66" s="196">
        <v>1</v>
      </c>
      <c r="AJ66" s="196">
        <v>-2</v>
      </c>
      <c r="AK66" s="196">
        <v>0</v>
      </c>
      <c r="AL66" s="196">
        <v>-1</v>
      </c>
      <c r="AM66" s="196">
        <v>-1</v>
      </c>
      <c r="AN66" s="196">
        <v>150</v>
      </c>
      <c r="AO66" s="196">
        <v>55</v>
      </c>
      <c r="AP66" s="196"/>
      <c r="AQ66" s="196"/>
      <c r="AR66" s="196"/>
      <c r="AS66" s="196"/>
    </row>
    <row r="67" spans="1:45" ht="13.5" thickBot="1">
      <c r="A67" s="88"/>
      <c r="B67" s="41" t="str">
        <f>IF((A51+A55)&gt;0,IF((A51+A47)&gt;0,"V pořádku","Ještě zbraň"),"Doplň název zbraně")</f>
        <v>Doplň název zbraně</v>
      </c>
      <c r="D67" s="4"/>
      <c r="E67" s="4"/>
      <c r="F67" s="4"/>
      <c r="G67" s="70"/>
      <c r="H67" s="4"/>
      <c r="I67" s="95" t="s">
        <v>122</v>
      </c>
      <c r="J67" s="58" t="str">
        <f>IF(A51=0,"Není",IF($H$54="0. stupeň",-6,IF($H$54="1. stupeň",-4,IF($H$54="2. stupeň",-2,0))))</f>
        <v>Není</v>
      </c>
      <c r="K67" s="142"/>
      <c r="R67" s="77"/>
      <c r="S67" s="77"/>
      <c r="T67" s="77"/>
      <c r="U67" s="77"/>
      <c r="V67" s="77"/>
      <c r="W67" s="196"/>
      <c r="X67" s="196" t="s">
        <v>66</v>
      </c>
      <c r="Y67" s="196"/>
      <c r="Z67" s="196"/>
      <c r="AA67" s="196"/>
      <c r="AB67" s="196"/>
      <c r="AC67" s="196"/>
      <c r="AD67" s="196"/>
      <c r="AE67" s="196">
        <v>36</v>
      </c>
      <c r="AF67" s="196" t="s">
        <v>49</v>
      </c>
      <c r="AG67" s="196">
        <v>-2</v>
      </c>
      <c r="AH67" s="196">
        <v>2</v>
      </c>
      <c r="AI67" s="196">
        <v>1</v>
      </c>
      <c r="AJ67" s="196">
        <v>-1</v>
      </c>
      <c r="AK67" s="196">
        <v>0</v>
      </c>
      <c r="AL67" s="196">
        <v>-1</v>
      </c>
      <c r="AM67" s="196">
        <v>-2</v>
      </c>
      <c r="AN67" s="196"/>
      <c r="AO67" s="196"/>
      <c r="AP67" s="196"/>
      <c r="AQ67" s="196"/>
      <c r="AR67" s="196"/>
      <c r="AS67" s="196"/>
    </row>
    <row r="68" spans="1:45" ht="13.5" thickBot="1">
      <c r="A68" s="88"/>
      <c r="B68" s="42" t="str">
        <f>IF(AND(A47,A51,A55)=TRUE,"Chyba - máš vyplněný obě zbraně a štít","V pořádku")</f>
        <v>V pořádku</v>
      </c>
      <c r="C68" s="93"/>
      <c r="D68" s="95"/>
      <c r="E68" s="95"/>
      <c r="F68" s="95"/>
      <c r="G68" s="95"/>
      <c r="H68" s="95"/>
      <c r="I68" s="95" t="s">
        <v>123</v>
      </c>
      <c r="J68" s="58" t="str">
        <f>IF(A51=0,"Není",IF($H$54="0. stupeň",-4,IF($H$54="1. stupeň",-2,IF($H$54="2. stupeň",-1,0))))</f>
        <v>Není</v>
      </c>
      <c r="K68" s="95"/>
      <c r="R68" s="77"/>
      <c r="S68" s="77"/>
      <c r="T68" s="77"/>
      <c r="U68" s="77"/>
      <c r="V68" s="77"/>
      <c r="W68" s="196"/>
      <c r="X68" s="196" t="s">
        <v>71</v>
      </c>
      <c r="Y68" s="196"/>
      <c r="Z68" s="196"/>
      <c r="AA68" s="196"/>
      <c r="AB68" s="196"/>
      <c r="AC68" s="196"/>
      <c r="AD68" s="196"/>
      <c r="AE68" s="36">
        <v>37</v>
      </c>
      <c r="AF68" s="196" t="s">
        <v>154</v>
      </c>
      <c r="AG68" s="196">
        <v>-2</v>
      </c>
      <c r="AH68" s="196">
        <v>0</v>
      </c>
      <c r="AI68" s="196">
        <v>2</v>
      </c>
      <c r="AJ68" s="196">
        <v>0</v>
      </c>
      <c r="AK68" s="196">
        <v>0</v>
      </c>
      <c r="AL68" s="196">
        <v>0</v>
      </c>
      <c r="AM68" s="196">
        <v>-3</v>
      </c>
      <c r="AN68" s="196">
        <v>115</v>
      </c>
      <c r="AO68" s="196">
        <v>35</v>
      </c>
      <c r="AP68" s="196"/>
      <c r="AQ68" s="196"/>
      <c r="AR68" s="196"/>
      <c r="AS68" s="196"/>
    </row>
    <row r="69" spans="1:45">
      <c r="A69" s="88"/>
      <c r="B69" s="129" t="str">
        <f>IF(OR(A47,A51,A55),"chyba","v pořádku")</f>
        <v>v pořádku</v>
      </c>
      <c r="C69" s="88"/>
      <c r="D69" s="95"/>
      <c r="E69" s="95"/>
      <c r="F69" s="95"/>
      <c r="G69" s="95"/>
      <c r="H69" s="95"/>
      <c r="I69" s="95"/>
      <c r="J69" s="95"/>
      <c r="K69" s="95"/>
      <c r="R69" s="77"/>
      <c r="S69" s="77"/>
      <c r="T69" s="77"/>
      <c r="U69" s="77"/>
      <c r="V69" s="77"/>
      <c r="W69" s="196"/>
      <c r="X69" s="196" t="s">
        <v>72</v>
      </c>
      <c r="Y69" s="196"/>
      <c r="Z69" s="196"/>
      <c r="AA69" s="196"/>
      <c r="AB69" s="196"/>
      <c r="AC69" s="196"/>
      <c r="AD69" s="196"/>
      <c r="AE69" s="196">
        <v>38</v>
      </c>
      <c r="AF69" s="196" t="s">
        <v>155</v>
      </c>
      <c r="AG69" s="196">
        <v>-3</v>
      </c>
      <c r="AH69" s="196">
        <v>1</v>
      </c>
      <c r="AI69" s="196">
        <v>2</v>
      </c>
      <c r="AJ69" s="196">
        <v>-1</v>
      </c>
      <c r="AK69" s="196">
        <v>0</v>
      </c>
      <c r="AL69" s="196">
        <v>1</v>
      </c>
      <c r="AM69" s="196">
        <v>-4</v>
      </c>
      <c r="AN69" s="196"/>
      <c r="AO69" s="196"/>
      <c r="AP69" s="196"/>
      <c r="AQ69" s="196"/>
      <c r="AR69" s="196"/>
      <c r="AS69" s="196"/>
    </row>
    <row r="70" spans="1:45">
      <c r="A70" s="88"/>
      <c r="B70" s="129" t="str">
        <f>IF(B49&gt;0,"V pořádku",IF(B54&gt;0,"V pořádku",IF(B59&gt;0,"V pořádku",IF(OR(A47,A51,A55),"chyba","v pořádku"))))</f>
        <v>v pořádku</v>
      </c>
      <c r="C70" s="88"/>
      <c r="D70" s="95"/>
      <c r="E70" s="95"/>
      <c r="F70" s="95"/>
      <c r="G70" s="95"/>
      <c r="H70" s="95"/>
      <c r="I70" s="95"/>
      <c r="J70" s="95"/>
      <c r="K70" s="95"/>
      <c r="R70" s="77"/>
      <c r="S70" s="77"/>
      <c r="T70" s="77"/>
      <c r="U70" s="77"/>
      <c r="V70" s="77"/>
      <c r="W70" s="196"/>
      <c r="X70" s="196"/>
      <c r="Y70" s="196"/>
      <c r="Z70" s="196"/>
      <c r="AA70" s="196"/>
      <c r="AB70" s="196"/>
      <c r="AC70" s="196"/>
      <c r="AD70" s="196"/>
      <c r="AE70" s="196">
        <v>39</v>
      </c>
      <c r="AF70" s="196" t="s">
        <v>156</v>
      </c>
      <c r="AG70" s="196">
        <v>-3</v>
      </c>
      <c r="AH70" s="196">
        <v>0</v>
      </c>
      <c r="AI70" s="196">
        <v>2</v>
      </c>
      <c r="AJ70" s="196">
        <v>1</v>
      </c>
      <c r="AK70" s="196">
        <v>0</v>
      </c>
      <c r="AL70" s="196">
        <v>-1</v>
      </c>
      <c r="AM70" s="196">
        <v>-3</v>
      </c>
      <c r="AN70" s="196">
        <v>115</v>
      </c>
      <c r="AO70" s="196">
        <v>35</v>
      </c>
      <c r="AP70" s="196"/>
      <c r="AQ70" s="196"/>
      <c r="AR70" s="196"/>
      <c r="AS70" s="196"/>
    </row>
    <row r="71" spans="1:45">
      <c r="A71" s="93"/>
      <c r="D71" s="4"/>
      <c r="E71" s="4"/>
      <c r="F71" s="4"/>
      <c r="G71" s="4"/>
      <c r="H71" s="4"/>
      <c r="I71" s="4"/>
      <c r="J71" s="4"/>
      <c r="K71" s="95"/>
      <c r="R71" s="77"/>
      <c r="S71" s="77"/>
      <c r="T71" s="77"/>
      <c r="U71" s="77"/>
      <c r="V71" s="77"/>
      <c r="W71" s="196"/>
      <c r="X71" s="196" t="s">
        <v>89</v>
      </c>
      <c r="Y71" s="196"/>
      <c r="Z71" s="196"/>
      <c r="AA71" s="196"/>
      <c r="AB71" s="196"/>
      <c r="AC71" s="196"/>
      <c r="AD71" s="196"/>
      <c r="AE71" s="196">
        <v>40</v>
      </c>
      <c r="AF71" s="196" t="s">
        <v>157</v>
      </c>
      <c r="AG71" s="196">
        <v>-4</v>
      </c>
      <c r="AH71" s="196">
        <v>1</v>
      </c>
      <c r="AI71" s="196">
        <v>2</v>
      </c>
      <c r="AJ71" s="196">
        <v>0</v>
      </c>
      <c r="AK71" s="196">
        <v>0</v>
      </c>
      <c r="AL71" s="196">
        <v>0</v>
      </c>
      <c r="AM71" s="196">
        <v>-4</v>
      </c>
      <c r="AN71" s="196"/>
      <c r="AO71" s="196"/>
      <c r="AP71" s="196"/>
      <c r="AQ71" s="196"/>
      <c r="AR71" s="196"/>
      <c r="AS71" s="196"/>
    </row>
    <row r="72" spans="1:45">
      <c r="A72" s="93"/>
      <c r="D72" s="4"/>
      <c r="E72" s="4"/>
      <c r="F72" s="4"/>
      <c r="G72" s="4"/>
      <c r="H72" s="4"/>
      <c r="I72" s="4"/>
      <c r="J72" s="4"/>
      <c r="K72" s="95"/>
      <c r="R72" s="77"/>
      <c r="S72" s="77"/>
      <c r="T72" s="77"/>
      <c r="U72" s="77"/>
      <c r="V72" s="77"/>
      <c r="W72" s="196"/>
      <c r="X72" s="196" t="s">
        <v>87</v>
      </c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</row>
    <row r="73" spans="1:45">
      <c r="A73" s="93"/>
      <c r="D73" s="4"/>
      <c r="E73" s="4"/>
      <c r="F73" s="4"/>
      <c r="G73" s="4"/>
      <c r="H73" s="4"/>
      <c r="I73" s="4"/>
      <c r="J73" s="4"/>
      <c r="K73" s="95"/>
      <c r="R73" s="77"/>
      <c r="S73" s="77"/>
      <c r="T73" s="77"/>
      <c r="U73" s="77"/>
      <c r="V73" s="77"/>
      <c r="W73" s="196"/>
      <c r="X73" s="196" t="s">
        <v>88</v>
      </c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</row>
    <row r="74" spans="1:45">
      <c r="A74" s="93"/>
      <c r="D74" s="4"/>
      <c r="E74" s="4"/>
      <c r="F74" s="4"/>
      <c r="G74" s="4"/>
      <c r="H74" s="4"/>
      <c r="I74" s="4"/>
      <c r="J74" s="4"/>
      <c r="K74" s="95"/>
      <c r="R74" s="77"/>
      <c r="S74" s="77"/>
      <c r="T74" s="77"/>
      <c r="U74" s="77"/>
      <c r="V74" s="77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</row>
    <row r="75" spans="1:45">
      <c r="F75" s="4"/>
      <c r="R75" s="77"/>
      <c r="S75" s="77"/>
      <c r="T75" s="77"/>
      <c r="U75" s="77"/>
      <c r="V75" s="77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</row>
    <row r="76" spans="1:45">
      <c r="R76" s="77"/>
      <c r="S76" s="77"/>
      <c r="T76" s="77"/>
      <c r="U76" s="77"/>
      <c r="V76" s="77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</row>
    <row r="77" spans="1:45">
      <c r="R77" s="77"/>
      <c r="S77" s="77"/>
      <c r="T77" s="77"/>
      <c r="U77" s="77"/>
      <c r="V77" s="77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</row>
    <row r="78" spans="1:45">
      <c r="R78" s="77"/>
      <c r="S78" s="77"/>
      <c r="T78" s="77"/>
      <c r="U78" s="77"/>
      <c r="V78" s="77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</row>
    <row r="79" spans="1:45">
      <c r="R79" s="77"/>
      <c r="S79" s="77"/>
      <c r="T79" s="77"/>
      <c r="U79" s="77"/>
      <c r="V79" s="77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</row>
    <row r="80" spans="1:45">
      <c r="R80" s="77"/>
      <c r="S80" s="77"/>
      <c r="T80" s="77"/>
      <c r="U80" s="77"/>
      <c r="V80" s="77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</row>
    <row r="81" spans="18:45">
      <c r="R81" s="77"/>
      <c r="S81" s="77"/>
      <c r="T81" s="77"/>
      <c r="U81" s="77"/>
      <c r="V81" s="77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</row>
    <row r="82" spans="18:45">
      <c r="R82" s="77"/>
      <c r="S82" s="77"/>
      <c r="T82" s="77"/>
      <c r="U82" s="77"/>
      <c r="V82" s="77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</row>
    <row r="83" spans="18:45">
      <c r="R83" s="77"/>
      <c r="S83" s="77"/>
      <c r="T83" s="77"/>
      <c r="U83" s="77"/>
      <c r="V83" s="77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</row>
    <row r="84" spans="18:45"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</row>
    <row r="85" spans="18:45"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</row>
    <row r="86" spans="18:45"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</row>
    <row r="87" spans="18:45"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</row>
    <row r="88" spans="18:45"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</row>
    <row r="89" spans="18:45"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</row>
    <row r="90" spans="18:45"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</row>
    <row r="91" spans="18:45"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8:45"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8:45"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8:45"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8:45"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8:45"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22:31"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22:31"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22:31"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</sheetData>
  <sheetProtection formatCells="0"/>
  <sortState ref="N1:O10">
    <sortCondition ref="N1"/>
  </sortState>
  <mergeCells count="5">
    <mergeCell ref="I63:K63"/>
    <mergeCell ref="B2:G2"/>
    <mergeCell ref="F4:J4"/>
    <mergeCell ref="E7:F7"/>
    <mergeCell ref="D32:J32"/>
  </mergeCells>
  <phoneticPr fontId="1" type="noConversion"/>
  <dataValidations count="10">
    <dataValidation type="list" allowBlank="1" showInputMessage="1" showErrorMessage="1" sqref="H44 H54 F59 H49">
      <formula1>$Z$54:$Z$57</formula1>
    </dataValidation>
    <dataValidation type="list" allowBlank="1" showInputMessage="1" showErrorMessage="1" sqref="G49 G54">
      <formula1>$AA$32:$AA$41</formula1>
    </dataValidation>
    <dataValidation type="list" allowBlank="1" showInputMessage="1" showErrorMessage="1" sqref="C55">
      <formula1>$Z$54:$Z$58</formula1>
    </dataValidation>
    <dataValidation type="list" allowBlank="1" showInputMessage="1" showErrorMessage="1" sqref="E55">
      <formula1>$AC$33:$AC$34</formula1>
    </dataValidation>
    <dataValidation type="list" allowBlank="1" showInputMessage="1" showErrorMessage="1" sqref="D50">
      <formula1>$AC$32:$AC$34</formula1>
    </dataValidation>
    <dataValidation type="list" allowBlank="1" showInputMessage="1" showErrorMessage="1" sqref="J41">
      <formula1>$Z$33:$Z$53</formula1>
    </dataValidation>
    <dataValidation type="list" allowBlank="1" showInputMessage="1" showErrorMessage="1" sqref="C6">
      <formula1>$X$33:$X$48</formula1>
    </dataValidation>
    <dataValidation type="list" allowBlank="1" showInputMessage="1" showErrorMessage="1" sqref="C4">
      <formula1>$X$50:$X$69</formula1>
    </dataValidation>
    <dataValidation type="list" allowBlank="1" showInputMessage="1" showErrorMessage="1" sqref="C34 C32 C36">
      <formula1>$Z$32:$Z$40</formula1>
    </dataValidation>
    <dataValidation type="list" allowBlank="1" showInputMessage="1" showErrorMessage="1" sqref="B30">
      <formula1>$X$71:$X$73</formula1>
    </dataValidation>
  </dataValidations>
  <hyperlinks>
    <hyperlink ref="C1" r:id="rId1"/>
  </hyperlinks>
  <pageMargins left="0.78740157499999996" right="0.78740157499999996" top="0.984251969" bottom="0.984251969" header="0.5" footer="0.5"/>
  <pageSetup paperSize="9" orientation="portrait" horizontalDpi="300" verticalDpi="300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99"/>
  <sheetViews>
    <sheetView workbookViewId="0">
      <selection activeCell="C4" sqref="C4"/>
    </sheetView>
  </sheetViews>
  <sheetFormatPr defaultRowHeight="12.75"/>
  <cols>
    <col min="1" max="1" width="17.42578125" customWidth="1"/>
    <col min="2" max="2" width="17.85546875" customWidth="1"/>
    <col min="3" max="3" width="12.85546875" customWidth="1"/>
    <col min="4" max="4" width="14.5703125" customWidth="1"/>
    <col min="5" max="5" width="17" customWidth="1"/>
    <col min="6" max="6" width="14.7109375" customWidth="1"/>
    <col min="7" max="7" width="14.5703125" customWidth="1"/>
    <col min="8" max="8" width="13.85546875" customWidth="1"/>
    <col min="9" max="9" width="14.85546875" customWidth="1"/>
    <col min="10" max="10" width="11.42578125" bestFit="1" customWidth="1"/>
    <col min="11" max="11" width="12.85546875" customWidth="1"/>
    <col min="16" max="16" width="12.85546875" customWidth="1"/>
    <col min="17" max="17" width="11.28515625" customWidth="1"/>
    <col min="18" max="18" width="13.42578125" customWidth="1"/>
    <col min="25" max="25" width="19.5703125" customWidth="1"/>
  </cols>
  <sheetData>
    <row r="1" spans="1:34">
      <c r="A1" s="86"/>
      <c r="B1" s="91" t="s">
        <v>144</v>
      </c>
      <c r="C1" s="92" t="s">
        <v>145</v>
      </c>
      <c r="D1" s="93"/>
      <c r="E1" s="93"/>
      <c r="F1" s="94">
        <v>40314</v>
      </c>
      <c r="G1" s="93"/>
      <c r="H1" s="95" t="s">
        <v>207</v>
      </c>
      <c r="I1" s="93"/>
      <c r="J1" s="88"/>
      <c r="K1" s="93"/>
      <c r="N1" s="4"/>
    </row>
    <row r="2" spans="1:34" ht="28.5" customHeight="1">
      <c r="A2" s="87"/>
      <c r="B2" s="150" t="s">
        <v>147</v>
      </c>
      <c r="C2" s="151"/>
      <c r="D2" s="151"/>
      <c r="E2" s="151"/>
      <c r="F2" s="151"/>
      <c r="G2" s="151"/>
      <c r="H2" s="4"/>
      <c r="J2" s="16"/>
      <c r="K2" s="93"/>
      <c r="N2" s="4"/>
      <c r="R2" s="77"/>
      <c r="S2" s="77"/>
      <c r="T2" s="77"/>
      <c r="U2" s="77"/>
      <c r="V2" s="77"/>
      <c r="W2" s="77"/>
      <c r="X2" s="78"/>
      <c r="Y2" s="78"/>
      <c r="Z2" s="78"/>
      <c r="AA2" s="78"/>
      <c r="AB2" s="78"/>
      <c r="AC2" s="78"/>
      <c r="AD2" s="78"/>
      <c r="AE2" s="78"/>
      <c r="AF2" s="78"/>
      <c r="AG2" s="5"/>
      <c r="AH2" s="5"/>
    </row>
    <row r="3" spans="1:34" ht="13.5" thickBot="1">
      <c r="A3" s="87"/>
      <c r="J3" s="16"/>
      <c r="K3" s="93"/>
      <c r="M3" s="4"/>
      <c r="R3" s="77"/>
      <c r="S3" s="77"/>
      <c r="T3" s="77"/>
      <c r="U3" s="77"/>
      <c r="V3" s="77"/>
      <c r="Y3" s="78"/>
      <c r="Z3" s="78"/>
      <c r="AA3" s="78"/>
      <c r="AB3" s="78"/>
      <c r="AC3" s="78"/>
      <c r="AD3" s="78"/>
      <c r="AE3" s="78"/>
      <c r="AF3" s="78"/>
      <c r="AG3" s="5"/>
      <c r="AH3" s="5"/>
    </row>
    <row r="4" spans="1:34" ht="13.5" thickBot="1">
      <c r="A4" s="87"/>
      <c r="B4" s="12" t="s">
        <v>70</v>
      </c>
      <c r="C4" s="24" t="s">
        <v>73</v>
      </c>
      <c r="E4" s="34" t="s">
        <v>104</v>
      </c>
      <c r="F4" s="152"/>
      <c r="G4" s="153"/>
      <c r="H4" s="153"/>
      <c r="I4" s="153"/>
      <c r="J4" s="154"/>
      <c r="K4" s="93"/>
      <c r="M4" s="4"/>
      <c r="R4" s="77"/>
      <c r="S4" s="77"/>
      <c r="T4" s="77"/>
      <c r="U4" s="77"/>
      <c r="V4" s="77"/>
      <c r="W4" s="77"/>
      <c r="X4" s="78"/>
      <c r="Y4" s="78"/>
      <c r="Z4" s="78"/>
      <c r="AA4" s="78"/>
      <c r="AB4" s="78"/>
      <c r="AC4" s="78"/>
      <c r="AD4" s="78"/>
      <c r="AE4" s="78"/>
      <c r="AF4" s="78"/>
      <c r="AG4" s="5"/>
      <c r="AH4" s="5"/>
    </row>
    <row r="5" spans="1:34" ht="13.5" customHeight="1" thickBot="1">
      <c r="A5" s="88"/>
      <c r="K5" s="93"/>
      <c r="M5" s="4"/>
      <c r="R5" s="77"/>
      <c r="S5" s="77"/>
      <c r="T5" s="77"/>
      <c r="U5" s="77"/>
      <c r="V5" s="77"/>
      <c r="W5" s="77"/>
      <c r="X5" s="78"/>
      <c r="Y5" s="78"/>
      <c r="Z5" s="78"/>
      <c r="AA5" s="78"/>
      <c r="AB5" s="78"/>
      <c r="AC5" s="78"/>
      <c r="AD5" s="78"/>
      <c r="AE5" s="78"/>
      <c r="AF5" s="78"/>
      <c r="AG5" s="5"/>
      <c r="AH5" s="5"/>
    </row>
    <row r="6" spans="1:34" ht="15.75" thickBot="1">
      <c r="A6" s="88"/>
      <c r="B6" s="12" t="s">
        <v>18</v>
      </c>
      <c r="C6" s="25" t="s">
        <v>24</v>
      </c>
      <c r="E6" s="21" t="str">
        <f>IF($C$4="lidé",IF($J$26=TRUE,"Lidská","Člověk"),IF($C$4="horalové",IF($J$26=TRUE,"Horalka","Horal"),IF($C$4="barbaři",IF($J$26=TRUE,"Barbarka","Barbar"),IF($C$4="trpaslíci",IF($J$26=TRUE,"Trpaslice","Trpaslík"),IF($C$4="Horští trpaslíci",IF($J$26=TRUE,"Horská trpaslice","Horský trpaslík"),IF($C$4="lesní trpaslíci",IF($J$26=TRUE,"Lesní trpaslice","Lesní trpaslík"),IF($C$4="elfové",IF($J$26=TRUE,"Elka","Elf"),IF($C$4="lesní elfové",IF($J$26=TRUE,"Lesní elfka","Lesní elf"),IF($C$4="temní elfové",IF($J$26=TRUE,"Temná elfka","Temný elf"),IF($C$4="hobiti",IF($J$26=TRUE,"Hobitka","Hobit"),IF($C$4="krollové",IF($J$26=TRUE,"Krollka","Kroll"),IF($C$4="divocí krollové",IF($J$26=TRUE,"Divoká krollka","Divoký kroll"),IF($C$4="skřeti",IF($J$26=TRUE,"Skřetí","Skřet"),IF($C$4="skuruti",IF($J$26=TRUE,"Skurutka","Skurut"),IF($C$4="goblini",IF($J$26=TRUE,"Goblinka","Gobliní"),"Chyba")))))))))))))))</f>
        <v>Divoký kroll</v>
      </c>
      <c r="F6" s="22" t="str">
        <f>LOWER(C6)</f>
        <v>bojovník</v>
      </c>
      <c r="K6" s="93"/>
      <c r="M6" s="4"/>
      <c r="R6" s="77"/>
      <c r="S6" s="77"/>
      <c r="T6" s="77"/>
      <c r="U6" s="77"/>
      <c r="V6" s="77"/>
      <c r="W6" s="77"/>
      <c r="X6" s="78"/>
      <c r="Y6" s="78"/>
      <c r="Z6" s="78"/>
      <c r="AA6" s="78"/>
      <c r="AB6" s="78"/>
      <c r="AC6" s="78"/>
      <c r="AD6" s="78"/>
      <c r="AE6" s="78"/>
      <c r="AF6" s="78"/>
      <c r="AG6" s="5"/>
      <c r="AH6" s="5"/>
    </row>
    <row r="7" spans="1:34">
      <c r="A7" s="88"/>
      <c r="E7" s="157" t="str">
        <f>IF($C$4="lidé","Homo sapiens sapiens",IF($C$4="horalové","Homo sapiens sapiens var. montanus",IF($C$4="barbaři","Homo barbariensis",IF($C$4="trpaslíci","Subhomo oreum",IF($C$4="Horští trpaslíci","Subhomo montanus",IF($C$4="lesní trpaslíci","Subhomo ferum var. sylvestris",IF($C$4="elfové","Hyperhomo sapiens",IF($C$4="lesní elfové","Hyperhomo sylvestris",IF($C$4="temní elfové","Hyperhomo nictinum",IF($C$4="hobiti","Homella habilis",IF($C$4="krollové","Kroll kroll subsp. krollensis",IF($C$4="divocí krollové","Kroll kroll subsp. dinos",IF($C$4="skřeti","Nyctio submontanus",IF($C$4="skuruti","Nyctio gigantea",IF($C$4="goblini","Nyctio viridis","Chyba")))))))))))))))</f>
        <v>Kroll kroll subsp. dinos</v>
      </c>
      <c r="F7" s="158"/>
      <c r="K7" s="93"/>
      <c r="R7" s="77"/>
      <c r="S7" s="77"/>
      <c r="T7" s="77"/>
      <c r="U7" s="77"/>
      <c r="V7" s="77"/>
      <c r="W7" s="77"/>
      <c r="X7" s="78"/>
      <c r="Y7" s="78"/>
      <c r="Z7" s="78"/>
      <c r="AA7" s="78"/>
      <c r="AB7" s="78"/>
      <c r="AC7" s="78"/>
      <c r="AD7" s="78"/>
      <c r="AE7" s="78"/>
      <c r="AF7" s="78"/>
      <c r="AG7" s="5"/>
      <c r="AH7" s="5"/>
    </row>
    <row r="8" spans="1:34">
      <c r="A8" s="88"/>
      <c r="J8" s="16"/>
      <c r="K8" s="93"/>
      <c r="R8" s="77"/>
      <c r="S8" s="77"/>
      <c r="T8" s="77"/>
      <c r="U8" s="77"/>
      <c r="V8" s="77"/>
      <c r="W8" s="77"/>
      <c r="X8" s="78"/>
      <c r="Y8" s="78"/>
      <c r="Z8" s="78"/>
      <c r="AA8" s="78"/>
      <c r="AB8" s="78"/>
      <c r="AC8" s="78"/>
      <c r="AD8" s="78"/>
      <c r="AE8" s="78"/>
      <c r="AF8" s="78"/>
      <c r="AG8" s="5"/>
      <c r="AH8" s="5"/>
    </row>
    <row r="9" spans="1:34" ht="13.5" thickBot="1">
      <c r="A9" s="88"/>
      <c r="B9" s="112"/>
      <c r="C9" s="109" t="s">
        <v>100</v>
      </c>
      <c r="D9" s="109" t="s">
        <v>102</v>
      </c>
      <c r="E9" s="109" t="s">
        <v>101</v>
      </c>
      <c r="F9" s="15" t="s">
        <v>79</v>
      </c>
      <c r="G9" s="14" t="s">
        <v>103</v>
      </c>
      <c r="H9" s="17"/>
      <c r="I9" s="17"/>
      <c r="J9" s="18"/>
      <c r="K9" s="93"/>
      <c r="R9" s="77"/>
      <c r="S9" s="77"/>
      <c r="T9" s="77"/>
      <c r="U9" s="77"/>
      <c r="V9" s="77"/>
      <c r="W9" s="77"/>
      <c r="X9" s="78"/>
      <c r="Y9" s="78"/>
      <c r="Z9" s="78"/>
      <c r="AA9" s="78"/>
      <c r="AB9" s="78"/>
      <c r="AC9" s="78"/>
      <c r="AD9" s="78"/>
      <c r="AE9" s="78"/>
      <c r="AF9" s="78"/>
      <c r="AG9" s="5"/>
      <c r="AH9" s="5"/>
    </row>
    <row r="10" spans="1:34" ht="13.5" thickBot="1">
      <c r="A10" s="88"/>
      <c r="B10" s="118" t="s">
        <v>0</v>
      </c>
      <c r="C10" s="1">
        <f>SUM(D10:J10)</f>
        <v>4</v>
      </c>
      <c r="D10" s="5">
        <f>IF($C$4="lidé",IF($J$26=TRUE,-1,0),IF($C$4="horalové",IF($J$26=TRUE,0,1),IF($C$4="barbaři",IF($J$26=TRUE,1,2),IF($C$4="trpaslíci",1,IF($C$4="Horští trpaslíci",2,IF($C$4="lesní trpaslíci",1,IF($C$4="elfové",IF($J$26=TRUE,-2,-1),IF($C$4="lesní elfové",IF($J$26=TRUE,-2,-1),IF($C$4="temní elfové",IF($J$26=TRUE,-1,0),IF($C$4="hobiti",IF($J$26=TRUE,-4,-3),IF($C$4="krollové",IF(J26=TRUE,2,3),IF($C$4="divocí krollové",IF($J$26=TRUE,2,3),IF($C$4="skřeti",IF($J$26=TRUE,-1,0),IF($C$4="skuruti",IF($J$26=TRUE,0,1),IF($C$4="goblini",IF($J$26=TRUE,-2,-1),"chyba")))))))))))))))</f>
        <v>3</v>
      </c>
      <c r="E10" s="5">
        <f>IF($C$6="bojovník",1,IF($C$6="bojovnice",1,0))+IF($C$6="hraničář",1,IF($C$6="hraničářka",1,0))</f>
        <v>1</v>
      </c>
      <c r="F10" s="10"/>
      <c r="G10" s="19"/>
      <c r="H10" s="5"/>
      <c r="I10" s="5"/>
      <c r="J10" s="20"/>
      <c r="K10" s="93"/>
      <c r="R10" s="77"/>
      <c r="S10" s="77"/>
      <c r="T10" s="77"/>
      <c r="U10" s="77"/>
      <c r="V10" s="77"/>
      <c r="W10" s="77"/>
      <c r="X10" s="78"/>
      <c r="Y10" s="78"/>
      <c r="Z10" s="78"/>
      <c r="AA10" s="78"/>
      <c r="AB10" s="78"/>
      <c r="AC10" s="78"/>
      <c r="AD10" s="78"/>
      <c r="AE10" s="78"/>
      <c r="AF10" s="78"/>
      <c r="AG10" s="5"/>
      <c r="AH10" s="5"/>
    </row>
    <row r="11" spans="1:34" ht="13.5" thickBot="1">
      <c r="A11" s="88"/>
      <c r="B11" s="118"/>
      <c r="C11" s="119"/>
      <c r="D11" s="119"/>
      <c r="E11" s="119"/>
      <c r="F11" s="120"/>
      <c r="G11" s="121"/>
      <c r="H11" s="119"/>
      <c r="I11" s="119"/>
      <c r="J11" s="122"/>
      <c r="K11" s="93"/>
      <c r="R11" s="77"/>
      <c r="S11" s="77"/>
      <c r="T11" s="77"/>
      <c r="U11" s="77"/>
      <c r="V11" s="77"/>
      <c r="W11" s="77"/>
      <c r="X11" s="78"/>
      <c r="Y11" s="78"/>
      <c r="Z11" s="78"/>
      <c r="AA11" s="78"/>
      <c r="AB11" s="78"/>
      <c r="AC11" s="78"/>
      <c r="AD11" s="78"/>
      <c r="AE11" s="78"/>
      <c r="AF11" s="78"/>
      <c r="AG11" s="5"/>
      <c r="AH11" s="5"/>
    </row>
    <row r="12" spans="1:34" ht="13.5" thickBot="1">
      <c r="A12" s="88"/>
      <c r="B12" s="118" t="s">
        <v>1</v>
      </c>
      <c r="C12" s="1">
        <f>SUM(D12:J12)</f>
        <v>0</v>
      </c>
      <c r="D12" s="5">
        <f>IF($C$4="lidé",IF($J$26=TRUE,0,0),IF($C$4="horalové",IF($J$26=TRUE,0,0),IF($C$4="barbaři",IF($J$26=TRUE,1,0),IF($C$4="trpaslíci",-1,IF($C$4="Horští trpaslíci",-1,IF($C$4="lesní trpaslíci",-1,IF($C$4="elfové",IF($J$26=TRUE,1,1),IF($C$4="lesní elfové",IF($J$26=TRUE,1,1),IF($C$4="temní elfové",IF($J$26=TRUE,0,0),IF($C$4="hobiti",IF($J$26=TRUE,2,1),IF($C$4="krollové",IF($J$26=TRUE,-1,-2),IF($C$4="divocí krollové",IF($J$26=TRUE,0,-1),IF($C$4="skřeti",IF($J$26=TRUE,2,2),IF($C$4="skuruti",IF($J$26=TRUE,1,1),IF($C$4="goblini",IF($J$26=TRUE,2,2),"chyba")))))))))))))))</f>
        <v>-1</v>
      </c>
      <c r="E12" s="5">
        <f>IF($C$6="bojovník",1,IF($C$6="bojovnice",1,0))+IF($C$6="zlodějka",1,IF($C$6="zloděj",1,0))</f>
        <v>1</v>
      </c>
      <c r="F12" s="10"/>
      <c r="G12" s="19"/>
      <c r="H12" s="5"/>
      <c r="I12" s="5"/>
      <c r="J12" s="20"/>
      <c r="K12" s="93"/>
      <c r="R12" s="77"/>
      <c r="S12" s="77"/>
      <c r="T12" s="77"/>
      <c r="U12" s="77"/>
      <c r="V12" s="77"/>
      <c r="W12" s="77"/>
      <c r="X12" s="78"/>
      <c r="Y12" s="78"/>
      <c r="Z12" s="78"/>
      <c r="AA12" s="78"/>
      <c r="AB12" s="78"/>
      <c r="AC12" s="78"/>
      <c r="AD12" s="78"/>
      <c r="AE12" s="78"/>
      <c r="AF12" s="78"/>
      <c r="AG12" s="5"/>
      <c r="AH12" s="5"/>
    </row>
    <row r="13" spans="1:34" ht="13.5" thickBot="1">
      <c r="A13" s="88"/>
      <c r="B13" s="118"/>
      <c r="C13" s="93"/>
      <c r="D13" s="128">
        <f>C12+I44</f>
        <v>0</v>
      </c>
      <c r="E13" s="119"/>
      <c r="F13" s="120"/>
      <c r="G13" s="121"/>
      <c r="H13" s="119"/>
      <c r="I13" s="119"/>
      <c r="J13" s="122"/>
      <c r="K13" s="93"/>
      <c r="R13" s="77"/>
      <c r="S13" s="77"/>
      <c r="T13" s="77"/>
      <c r="U13" s="77"/>
      <c r="V13" s="77"/>
      <c r="W13" s="77"/>
      <c r="X13" s="78"/>
      <c r="Y13" s="78"/>
      <c r="Z13" s="78"/>
      <c r="AA13" s="78"/>
      <c r="AB13" s="78"/>
      <c r="AC13" s="78"/>
      <c r="AD13" s="78"/>
      <c r="AE13" s="78"/>
      <c r="AF13" s="78"/>
      <c r="AG13" s="5"/>
      <c r="AH13" s="5"/>
    </row>
    <row r="14" spans="1:34" ht="13.5" thickBot="1">
      <c r="A14" s="88"/>
      <c r="B14" s="118" t="s">
        <v>2</v>
      </c>
      <c r="C14" s="1">
        <f>SUM(D14:J14)</f>
        <v>-2</v>
      </c>
      <c r="D14" s="5">
        <f>IF($C$4="lidé",IF($J$26=TRUE,0,0),IF($C$4="horalové",IF($J$26=TRUE,0,0),IF($C$4="barbaři",IF($J$26=TRUE,-1,-1),IF($C$4="trpaslíci",IF($J$26=TRUE,-1,0),IF($C$4="Horští trpaslíci",IF($J$26=TRUE,-1,0),IF($C$4="lesní trpaslíci",IF($J$26=TRUE,-1,0),IF($C$4="elfové",IF($J$26=TRUE,2,1),IF($C$4="lesní elfové",IF($J$26=TRUE,1,0),IF($C$4="temní elfové",IF($J$26=TRUE,1,0),IF($C$4="hobiti",IF($J$26=TRUE,0,1),IF($C$4="krollové",IF(J9=TRUE,-1,-1),IF($C$4="divocí krollové",IF($J$26=TRUE,-2,-2),IF($C$4="skřeti",IF($J$26=TRUE,0,0),IF($C$4="skuruti",IF($J$26=TRUE,-1,-1),IF($C$4="goblini",IF($J$26=TRUE,1,1),"chyba")))))))))))))))</f>
        <v>-2</v>
      </c>
      <c r="E14" s="5">
        <f>IF($C$6="zloděj",1,IF($C$6="zlodějka",1,0))+IF($C$6="hraničář",1,IF($C$6="hraničářka",1,0))</f>
        <v>0</v>
      </c>
      <c r="F14" s="10"/>
      <c r="G14" s="19"/>
      <c r="H14" s="5"/>
      <c r="I14" s="5"/>
      <c r="J14" s="20"/>
      <c r="K14" s="93"/>
      <c r="R14" s="77"/>
      <c r="S14" s="77"/>
      <c r="T14" s="77"/>
      <c r="U14" s="77"/>
      <c r="V14" s="77"/>
      <c r="W14" s="77"/>
      <c r="X14" s="78"/>
      <c r="Y14" s="78"/>
      <c r="Z14" s="78"/>
      <c r="AA14" s="78"/>
      <c r="AB14" s="78"/>
      <c r="AC14" s="78"/>
      <c r="AD14" s="78"/>
      <c r="AE14" s="78"/>
      <c r="AF14" s="78"/>
      <c r="AG14" s="5"/>
      <c r="AH14" s="5"/>
    </row>
    <row r="15" spans="1:34" ht="13.5" thickBot="1">
      <c r="A15" s="88"/>
      <c r="B15" s="118"/>
      <c r="C15" s="119"/>
      <c r="D15" s="119"/>
      <c r="E15" s="119"/>
      <c r="F15" s="120"/>
      <c r="G15" s="121"/>
      <c r="H15" s="119"/>
      <c r="I15" s="119"/>
      <c r="J15" s="122"/>
      <c r="K15" s="93"/>
      <c r="R15" s="77"/>
      <c r="S15" s="77"/>
      <c r="T15" s="77"/>
      <c r="U15" s="77"/>
      <c r="V15" s="77"/>
      <c r="W15" s="77"/>
      <c r="X15" s="78"/>
      <c r="Y15" s="78"/>
      <c r="Z15" s="78"/>
      <c r="AA15" s="78"/>
      <c r="AB15" s="78"/>
      <c r="AC15" s="78"/>
      <c r="AD15" s="78"/>
      <c r="AE15" s="78"/>
      <c r="AF15" s="78"/>
      <c r="AG15" s="5"/>
      <c r="AH15" s="5"/>
    </row>
    <row r="16" spans="1:34" ht="13.5" thickBot="1">
      <c r="A16" s="88"/>
      <c r="B16" s="118" t="s">
        <v>3</v>
      </c>
      <c r="C16" s="1">
        <f>SUM(D16:J16)</f>
        <v>2</v>
      </c>
      <c r="D16" s="5">
        <f>IF($C$4="lidé",IF($J$26=TRUE,0,0),IF($C$4="horalové",IF($J$26=TRUE,1,1),IF($C$4="barbaři",IF($J$26=TRUE,0,1),IF($C$4="trpaslíci",2,IF($C$4="Horští trpaslíci",2,IF($C$4="lesní trpaslíci",1,IF($C$4="elfové",IF($J$26=TRUE,-2,-2),IF($C$4="lesní elfové",IF($J$26=TRUE,-1,-1),IF($C$4="temní elfové",IF($J$26=TRUE,0,0),IF($C$4="hobiti",IF($J$26=TRUE,0,0),IF($C$4="krollové",IF(J11=TRUE,1,1),IF($C$4="divocí krollové",IF($J$26=TRUE,1,2),IF($C$4="skřeti",IF($J$26=TRUE,0,-1),IF($C$4="skuruti",IF($J$26=TRUE,1,0),IF($C$4="goblini",IF($J$26=TRUE,-1,-2),"chyba")))))))))))))))</f>
        <v>2</v>
      </c>
      <c r="E16" s="5">
        <f>IF($C$6="čaroděj",1,IF($C$6="čarodějka",1,0))+IF($C$6="kněz",1,IF($C$6="kněžka",1,0))</f>
        <v>0</v>
      </c>
      <c r="F16" s="10"/>
      <c r="G16" s="19"/>
      <c r="H16" s="5"/>
      <c r="I16" s="5"/>
      <c r="J16" s="20"/>
      <c r="K16" s="93"/>
      <c r="R16" s="77"/>
      <c r="S16" s="77"/>
      <c r="T16" s="77"/>
      <c r="U16" s="77"/>
      <c r="V16" s="77"/>
      <c r="W16" s="77"/>
      <c r="X16" s="78"/>
      <c r="Y16" s="78"/>
      <c r="Z16" s="78"/>
      <c r="AA16" s="78"/>
      <c r="AB16" s="78"/>
      <c r="AC16" s="78"/>
      <c r="AD16" s="78"/>
      <c r="AE16" s="78"/>
      <c r="AF16" s="78"/>
      <c r="AG16" s="5"/>
      <c r="AH16" s="5"/>
    </row>
    <row r="17" spans="1:34" ht="13.5" thickBot="1">
      <c r="A17" s="88"/>
      <c r="B17" s="118"/>
      <c r="C17" s="119"/>
      <c r="D17" s="119"/>
      <c r="E17" s="119"/>
      <c r="F17" s="120"/>
      <c r="G17" s="121"/>
      <c r="H17" s="119"/>
      <c r="I17" s="119"/>
      <c r="J17" s="122"/>
      <c r="K17" s="93"/>
      <c r="R17" s="77"/>
      <c r="S17" s="77"/>
      <c r="T17" s="77"/>
      <c r="U17" s="77"/>
      <c r="V17" s="77"/>
      <c r="W17" s="77"/>
      <c r="X17" s="78"/>
      <c r="Y17" s="78"/>
      <c r="Z17" s="78"/>
      <c r="AA17" s="78"/>
      <c r="AB17" s="78"/>
      <c r="AC17" s="78"/>
      <c r="AD17" s="78"/>
      <c r="AE17" s="78"/>
      <c r="AF17" s="78"/>
      <c r="AG17" s="5"/>
      <c r="AH17" s="5"/>
    </row>
    <row r="18" spans="1:34" ht="13.5" thickBot="1">
      <c r="A18" s="88"/>
      <c r="B18" s="118" t="s">
        <v>4</v>
      </c>
      <c r="C18" s="123">
        <f>SUM(D18:J18)</f>
        <v>-3</v>
      </c>
      <c r="D18" s="124">
        <f>IF($C$4="lidé",IF($J$26=TRUE,0,0),IF($C$4="horalové",IF($J$26=TRUE,-1,-1),IF($C$4="barbaři",IF($J$26=TRUE,-1,-1),IF($C$4="trpaslíci",IF($J$26=TRUE,0,-1),IF($C$4="Horští trpaslíci",IF($J$26=TRUE,-1,-2),IF($C$4="lesní trpaslíci",IF($J$26=TRUE,0,-1),IF($C$4="elfové",IF($J$26=TRUE,0,1),IF($C$4="lesní elfové",IF($J$26=TRUE,0,1),IF($C$4="temní elfové",IF($J$26=TRUE,0,1),IF($C$4="hobiti",IF($J$26=TRUE,0,0),IF($C$4="krollové",IF(J13=TRUE,-3,-3),IF($C$4="divocí krollové",IF($J$26=TRUE,-3,-3),IF($C$4="skřeti",IF($J$26=TRUE,0,0),IF($C$4="skuruti",IF($J$26=TRUE,0,0),IF($C$4="goblini",IF($J$26=TRUE,0,0),"chyba")))))))))))))))</f>
        <v>-3</v>
      </c>
      <c r="E18" s="124">
        <f>IF($C$6="čaroděj",1,IF($C$6="čarodějka",1,0))+IF($C$6="theurg",1,IF($C$6="theurgé",1,0))</f>
        <v>0</v>
      </c>
      <c r="F18" s="125"/>
      <c r="G18" s="126"/>
      <c r="H18" s="124"/>
      <c r="I18" s="124"/>
      <c r="J18" s="127"/>
      <c r="K18" s="93"/>
      <c r="R18" s="77"/>
      <c r="S18" s="77"/>
      <c r="T18" s="77"/>
      <c r="U18" s="77"/>
      <c r="V18" s="77"/>
      <c r="W18" s="77"/>
      <c r="X18" s="78"/>
      <c r="Y18" s="78"/>
      <c r="Z18" s="78"/>
      <c r="AA18" s="78"/>
      <c r="AB18" s="78"/>
      <c r="AC18" s="78"/>
      <c r="AD18" s="78"/>
      <c r="AE18" s="78"/>
      <c r="AF18" s="78"/>
      <c r="AG18" s="5"/>
      <c r="AH18" s="5"/>
    </row>
    <row r="19" spans="1:34" ht="13.5" customHeight="1" thickBot="1">
      <c r="A19" s="88"/>
      <c r="B19" s="118"/>
      <c r="C19" s="119"/>
      <c r="D19" s="119"/>
      <c r="E19" s="119"/>
      <c r="F19" s="120"/>
      <c r="G19" s="121"/>
      <c r="H19" s="119"/>
      <c r="I19" s="119"/>
      <c r="J19" s="122"/>
      <c r="K19" s="93"/>
      <c r="R19" s="77"/>
      <c r="S19" s="77"/>
      <c r="T19" s="77"/>
      <c r="U19" s="77"/>
      <c r="V19" s="77"/>
      <c r="W19" s="77"/>
      <c r="X19" s="78"/>
      <c r="Y19" s="78"/>
      <c r="Z19" s="78"/>
      <c r="AA19" s="78"/>
      <c r="AB19" s="78"/>
      <c r="AC19" s="78"/>
      <c r="AD19" s="78"/>
      <c r="AE19" s="78"/>
      <c r="AF19" s="78"/>
      <c r="AG19" s="5"/>
      <c r="AH19" s="5"/>
    </row>
    <row r="20" spans="1:34" ht="13.5" thickBot="1">
      <c r="A20" s="88"/>
      <c r="B20" s="118" t="s">
        <v>5</v>
      </c>
      <c r="C20" s="1">
        <f>SUM(D20:J20)</f>
        <v>-2</v>
      </c>
      <c r="D20" s="7">
        <f>IF($C$4="lidé",IF($J$26=TRUE,1,0),IF($C$4="horalové",IF($J$26=TRUE,0,-1),IF($C$4="barbaři",IF($J$26=TRUE,-1,-2),IF($C$4="trpaslíci",-2,IF($C$4="Horští trpaslíci",-2,IF($C$4="lesní trpaslíci",-1,IF($C$4="elfové",IF($J$26=TRUE,2,1),IF($C$4="lesní elfové",IF($J$26=TRUE,2,1),IF($C$4="temní elfové",IF($J$26=TRUE,1,0),IF($C$4="hobiti",IF($J$26=TRUE,3,2),IF($C$4="krollové",IF(J15=TRUE,-1,-2),IF($C$4="divocí krollové",IF($J$26=TRUE,-1,-2),IF($C$4="skřeti",IF($J$26=TRUE,-2,-2),IF($C$4="skuruti",IF($J$26=TRUE,-2,-2),IF($C$4="goblini",IF($J$26=TRUE,-1,-1),"chyba")))))))))))))))</f>
        <v>-2</v>
      </c>
      <c r="E20" s="5">
        <f>IF($C$6="theurg",1,IF($C$6="theurgé",1,0))+IF($C$6="kněz",1,IF($C$6="kněžka",1,0))</f>
        <v>0</v>
      </c>
      <c r="F20" s="10"/>
      <c r="G20" s="19"/>
      <c r="H20" s="5"/>
      <c r="I20" s="5"/>
      <c r="J20" s="20"/>
      <c r="K20" s="93"/>
      <c r="R20" s="77"/>
      <c r="S20" s="77"/>
      <c r="T20" s="77"/>
      <c r="U20" s="77"/>
      <c r="V20" s="77"/>
      <c r="W20" s="77"/>
      <c r="X20" s="78"/>
      <c r="Y20" s="78"/>
      <c r="Z20" s="78"/>
      <c r="AA20" s="78"/>
      <c r="AB20" s="78"/>
      <c r="AC20" s="78"/>
      <c r="AD20" s="78"/>
      <c r="AE20" s="78"/>
      <c r="AF20" s="78"/>
      <c r="AG20" s="5"/>
      <c r="AH20" s="5"/>
    </row>
    <row r="21" spans="1:34">
      <c r="A21" s="88"/>
      <c r="B21" s="114"/>
      <c r="C21" s="115"/>
      <c r="D21" s="115"/>
      <c r="E21" s="115"/>
      <c r="F21" s="115"/>
      <c r="G21" s="116"/>
      <c r="H21" s="115"/>
      <c r="I21" s="115"/>
      <c r="J21" s="117"/>
      <c r="K21" s="93"/>
      <c r="R21" s="77"/>
      <c r="S21" s="77"/>
      <c r="T21" s="77"/>
      <c r="U21" s="77"/>
      <c r="V21" s="77"/>
      <c r="W21" s="77"/>
      <c r="X21" s="78"/>
      <c r="Y21" s="78"/>
      <c r="Z21" s="78"/>
      <c r="AA21" s="78"/>
      <c r="AB21" s="78"/>
      <c r="AC21" s="78"/>
      <c r="AD21" s="78"/>
      <c r="AE21" s="78"/>
      <c r="AF21" s="78"/>
      <c r="AG21" s="5"/>
      <c r="AH21" s="5"/>
    </row>
    <row r="22" spans="1:34" ht="13.5" thickBot="1">
      <c r="A22" s="88"/>
      <c r="D22" s="4"/>
      <c r="E22" s="4"/>
      <c r="F22" s="4"/>
      <c r="G22" s="4"/>
      <c r="H22" s="4"/>
      <c r="I22" s="4"/>
      <c r="J22" s="73"/>
      <c r="K22" s="93"/>
      <c r="R22" s="77"/>
      <c r="S22" s="77"/>
      <c r="T22" s="77"/>
      <c r="U22" s="77"/>
      <c r="V22" s="77"/>
      <c r="W22" s="77"/>
      <c r="X22" s="78"/>
      <c r="Y22" s="78"/>
      <c r="Z22" s="78"/>
      <c r="AA22" s="78"/>
      <c r="AB22" s="78"/>
      <c r="AC22" s="78"/>
      <c r="AD22" s="78"/>
      <c r="AE22" s="78"/>
      <c r="AF22" s="78"/>
      <c r="AG22" s="5"/>
      <c r="AH22" s="5"/>
    </row>
    <row r="23" spans="1:34" ht="13.5" thickBot="1">
      <c r="A23" s="88"/>
      <c r="B23" s="113" t="s">
        <v>69</v>
      </c>
      <c r="C23" s="1">
        <f>IF(C4="divocí krollové",3,IF(C4="elfové",-1,IF(C4="krollové",3,IF(C4="hobiti",-1,IF(C4="barbaři",1,IF(C4="skřeti",-1,IF(C4="skuruti",1,IF(C4="goblini",-1,IF(C4="lesní elfové",-1,IF(C4="temní elfové",-1,0))))))-IF(C6="kněžka",1,IF(C6="theurgé",1,IF(C6="čarodějka",1,IF(C6="hraničářka",1,IF(C6="zlodějka",1,IF(C6="bojovnice",1,0))))))+IF(F10=0,(-1),IF(F10&gt;1,1,0))))))+IF(C4="horští trpaslíci",IF(J26=TRUE,1,0),IF(C4="lesní trpaslíci",IF(J26=TRUE,1,0),IF(C4="trpaslíci",IF(J26=TRUE,1,0),0)))</f>
        <v>3</v>
      </c>
      <c r="D23" s="4"/>
      <c r="E23" s="4"/>
      <c r="F23" s="4"/>
      <c r="G23" s="4"/>
      <c r="H23" s="4"/>
      <c r="I23" s="95" t="s">
        <v>7</v>
      </c>
      <c r="J23" s="56">
        <f>C10+1-IF(C4="trpaslíci",0,IF(C4="lesní trpaslíci",0,IF(C4="horští trpaslíci",0,IF(C4="elfové",2,IF(C4="lesní elfové",2, IF(C4="temní elfové",2,1))))))</f>
        <v>4</v>
      </c>
      <c r="K23" s="88"/>
      <c r="R23" s="77"/>
      <c r="S23" s="77"/>
      <c r="T23" s="77"/>
      <c r="U23" s="77"/>
      <c r="V23" s="77"/>
      <c r="W23" s="77"/>
      <c r="X23" s="78"/>
      <c r="Y23" s="78"/>
      <c r="Z23" s="78"/>
      <c r="AA23" s="78"/>
      <c r="AB23" s="78"/>
      <c r="AC23" s="78"/>
      <c r="AD23" s="78"/>
      <c r="AE23" s="78"/>
      <c r="AF23" s="78"/>
      <c r="AG23" s="5"/>
      <c r="AH23" s="5"/>
    </row>
    <row r="24" spans="1:34" ht="13.5" thickBot="1">
      <c r="A24" s="88"/>
      <c r="B24" s="9"/>
      <c r="D24" s="4"/>
      <c r="E24" s="4"/>
      <c r="F24" s="4"/>
      <c r="G24" s="4"/>
      <c r="H24" s="4"/>
      <c r="I24" s="4"/>
      <c r="J24" s="4"/>
      <c r="K24" s="89"/>
      <c r="R24" s="77"/>
      <c r="S24" s="77"/>
      <c r="T24" s="77"/>
      <c r="U24" s="77"/>
      <c r="V24" s="77"/>
      <c r="W24" s="77"/>
      <c r="X24" s="78"/>
      <c r="Y24" s="78"/>
      <c r="Z24" s="78"/>
      <c r="AA24" s="78"/>
      <c r="AB24" s="78"/>
      <c r="AC24" s="78"/>
      <c r="AD24" s="78"/>
      <c r="AE24" s="78"/>
      <c r="AF24" s="78"/>
      <c r="AG24" s="5"/>
      <c r="AH24" s="5"/>
    </row>
    <row r="25" spans="1:34" ht="13.5" thickBot="1">
      <c r="A25" s="88"/>
      <c r="B25" s="91" t="s">
        <v>68</v>
      </c>
      <c r="C25" s="8" t="str">
        <f>IF(C4="lidé","150-190 cm",IF(C4="horalové","165-200 cm",IF(C4="trpaslíci","125-160 cm",IF(C4="krollové","+- 220 cm",IF(C4="hobiti","90-125 cm",IF(C4="barbaři","170-210 cm",IF(C4="skřeti","145-165 cm",IF(C4="goblini","125-160 cm",IF(C4="skuruti","165-195 cm",IF(C4="elfové","145-175 cm",IF(C4="horští trpaslíci","130-155 cm",IF(C4="lesní trpaslíci","130-165 cm",IF(C4="divocí krollové","+- 230 cm",IF(C4="temní elfové","150-180 cm",IF(C4="lesní elfové","140-170 cm",)))))))))))))))</f>
        <v>+- 230 cm</v>
      </c>
      <c r="D25" s="4"/>
      <c r="E25" s="4"/>
      <c r="F25" s="4"/>
      <c r="G25" s="4"/>
      <c r="H25" s="4"/>
      <c r="I25" s="95" t="s">
        <v>8</v>
      </c>
      <c r="J25" s="56">
        <f>(C10+C16)/2</f>
        <v>3</v>
      </c>
      <c r="K25" s="88"/>
      <c r="R25" s="77"/>
      <c r="S25" s="77"/>
      <c r="T25" s="77"/>
      <c r="U25" s="77"/>
      <c r="V25" s="77"/>
      <c r="W25" s="77"/>
      <c r="X25" s="78"/>
      <c r="Y25" s="78"/>
      <c r="Z25" s="78"/>
      <c r="AA25" s="78"/>
      <c r="AB25" s="78"/>
      <c r="AC25" s="78"/>
      <c r="AD25" s="78"/>
      <c r="AE25" s="78"/>
      <c r="AF25" s="78"/>
      <c r="AG25" s="5"/>
      <c r="AH25" s="5"/>
    </row>
    <row r="26" spans="1:34" ht="13.5" thickBot="1">
      <c r="A26" s="88"/>
      <c r="B26" s="12" t="s">
        <v>13</v>
      </c>
      <c r="C26" s="23"/>
      <c r="D26" s="4"/>
      <c r="E26" s="4"/>
      <c r="F26" s="4"/>
      <c r="G26" s="4"/>
      <c r="H26" s="4"/>
      <c r="I26" s="4"/>
      <c r="J26" s="27" t="b">
        <f>IF($C$6="kněžka",TRUE,IF($C$6="theurgé",TRUE,IF($C$6="čarodějka",TRUE,IF($C$6="hraničářka",TRUE,IF($C$6="zlodějka",TRUE,IF($C$6="bojovnice",TRUE,FALSE))))))</f>
        <v>0</v>
      </c>
      <c r="K26" s="88"/>
      <c r="R26" s="77"/>
      <c r="S26" s="77"/>
      <c r="T26" s="77"/>
      <c r="U26" s="77"/>
      <c r="V26" s="77"/>
      <c r="W26" s="77"/>
      <c r="X26" s="78"/>
      <c r="Y26" s="78"/>
      <c r="Z26" s="78"/>
      <c r="AA26" s="78"/>
      <c r="AB26" s="78"/>
      <c r="AC26" s="78"/>
      <c r="AD26" s="78"/>
      <c r="AE26" s="78"/>
      <c r="AF26" s="78"/>
      <c r="AG26" s="5"/>
      <c r="AH26" s="5"/>
    </row>
    <row r="27" spans="1:34" ht="13.5" thickBot="1">
      <c r="A27" s="88"/>
      <c r="D27" s="4"/>
      <c r="E27" s="4"/>
      <c r="F27" s="4"/>
      <c r="G27" s="4"/>
      <c r="H27" s="4"/>
      <c r="I27" s="95" t="s">
        <v>67</v>
      </c>
      <c r="J27" s="56">
        <f>(C12+C10)/2+IF(C4="barbaři",1,0)+IF(C26&lt;150,-1,IF(C26&gt;180,1,0))</f>
        <v>1</v>
      </c>
      <c r="K27" s="88"/>
      <c r="R27" s="77"/>
      <c r="S27" s="77"/>
      <c r="T27" s="77"/>
      <c r="U27" s="77"/>
      <c r="V27" s="77"/>
      <c r="W27" s="77"/>
      <c r="X27" s="78"/>
      <c r="Y27" s="78"/>
      <c r="Z27" s="78"/>
      <c r="AA27" s="78"/>
      <c r="AB27" s="78"/>
      <c r="AC27" s="78"/>
      <c r="AD27" s="78"/>
      <c r="AE27" s="78"/>
      <c r="AF27" s="78"/>
      <c r="AG27" s="5"/>
      <c r="AH27" s="5"/>
    </row>
    <row r="28" spans="1:34" ht="13.5" thickBot="1">
      <c r="A28" s="89"/>
      <c r="B28" s="11"/>
      <c r="C28" s="11"/>
      <c r="D28" s="73"/>
      <c r="E28" s="73"/>
      <c r="F28" s="110" t="s">
        <v>93</v>
      </c>
      <c r="G28" s="73"/>
      <c r="H28" s="4"/>
      <c r="I28" s="4"/>
      <c r="J28" s="36" t="str">
        <f>IF($C$6="bojovník","řežič",IF($C$6="bojovnice","řežič",IF($C$6="hraničář","individualista",IF($C$6="hraničářka","individualista",IF($C$6="zloděj","poberta",IF($C$6="zlodějka","poberta",IF($C$6="čaroděj","magič",IF($C$6="čarodějka","magič",IF($C$6="theurg","démonolog",IF($C$6="theurgé","démonolog",IF($C$6="kněz","demagog","demagog")))))))))))</f>
        <v>řežič</v>
      </c>
      <c r="K28" s="93"/>
      <c r="R28" s="77"/>
      <c r="S28" s="77"/>
      <c r="T28" s="77"/>
      <c r="U28" s="77"/>
      <c r="V28" s="77"/>
      <c r="W28" s="77"/>
      <c r="X28" s="78"/>
      <c r="Y28" s="78"/>
      <c r="Z28" s="78"/>
      <c r="AA28" s="78"/>
      <c r="AB28" s="78"/>
      <c r="AC28" s="78"/>
      <c r="AD28" s="78"/>
      <c r="AE28" s="78"/>
      <c r="AF28" s="78"/>
      <c r="AG28" s="5"/>
      <c r="AH28" s="5"/>
    </row>
    <row r="29" spans="1:34" ht="13.5" thickBot="1">
      <c r="A29" s="89"/>
      <c r="B29" s="112" t="s">
        <v>86</v>
      </c>
      <c r="C29" s="109" t="s">
        <v>90</v>
      </c>
      <c r="D29" s="109" t="s">
        <v>91</v>
      </c>
      <c r="E29" s="109" t="s">
        <v>92</v>
      </c>
      <c r="F29" s="95" t="s">
        <v>100</v>
      </c>
      <c r="G29" s="29" t="str">
        <f>IF((C34+C32+C36)&lt;&gt;C30,"Chyba","V pořádku")</f>
        <v>V pořádku</v>
      </c>
      <c r="H29" s="6"/>
      <c r="I29" s="111" t="s">
        <v>9</v>
      </c>
      <c r="J29" s="1">
        <f>C14+1-IF(C4="skřeti",0,IF(C4="goblini",0,IF(C4="skuruti",0,IF(C4="trpaslíci",2,IF(C4="horští trpaslíci",2, IF(C4="lesní trpaslíci",2,1))))))</f>
        <v>-2</v>
      </c>
      <c r="K29" s="93"/>
      <c r="R29" s="77"/>
      <c r="S29" s="77"/>
      <c r="T29" s="77"/>
      <c r="U29" s="77"/>
      <c r="V29" s="77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5"/>
      <c r="AH29" s="5"/>
    </row>
    <row r="30" spans="1:34" ht="13.5" thickBot="1">
      <c r="A30" s="89"/>
      <c r="B30" s="26" t="s">
        <v>89</v>
      </c>
      <c r="C30" s="31">
        <f>IF(B30="výjmečné vlastnosti",5,IF(B30="kombinace",10,15))</f>
        <v>5</v>
      </c>
      <c r="D30" s="74">
        <f>IF(C30=5,3,IF(C30=10,2,1))</f>
        <v>3</v>
      </c>
      <c r="E30" s="74">
        <f>2*D30</f>
        <v>6</v>
      </c>
      <c r="F30" s="95" t="s">
        <v>95</v>
      </c>
      <c r="G30" s="28" t="str">
        <f>IF(C34&gt;C32+3,"Moc bodů v majetku","V pořádku")</f>
        <v>V pořádku</v>
      </c>
      <c r="H30" s="4"/>
      <c r="I30" s="4"/>
      <c r="J30" s="4"/>
      <c r="K30" s="93"/>
      <c r="R30" s="77"/>
      <c r="S30" s="77"/>
      <c r="T30" s="77"/>
      <c r="U30" s="77"/>
      <c r="V30" s="77"/>
      <c r="W30" s="77"/>
      <c r="X30" s="78"/>
      <c r="Y30" s="78"/>
      <c r="Z30" s="78"/>
      <c r="AA30" s="78"/>
      <c r="AB30" s="78"/>
      <c r="AC30" s="78"/>
      <c r="AD30" s="78"/>
      <c r="AE30" s="78"/>
      <c r="AF30" s="78"/>
      <c r="AG30" s="5"/>
      <c r="AH30" s="5"/>
    </row>
    <row r="31" spans="1:34" ht="13.5" thickBot="1">
      <c r="A31" s="89"/>
      <c r="D31" s="6"/>
      <c r="E31" s="6"/>
      <c r="F31" s="111" t="s">
        <v>86</v>
      </c>
      <c r="G31" s="28" t="str">
        <f>IF(C36&gt;C32+3,"Moc bodů v dovednostech","V pořádku")</f>
        <v>V pořádku</v>
      </c>
      <c r="H31" s="4"/>
      <c r="I31" s="95" t="s">
        <v>120</v>
      </c>
      <c r="J31" s="58" t="str">
        <f>IF(C4="elfové","Zrak",IF(C4="krollové","Sluch",IF(C4="trpaslíci","Hmat",IF(C4="hobiti","Chuť",IF(C4="skřeti","Čich",IF(C4="skurut","Čich",IF(C4="goblin","Čich",IF(C4="lesní elfové","Zrak",IF(C4="temní elfové","Zrak",IF(C4="horští trpaslíci","Hmat",IF(C4="lesní trpaslíci","Hmat",IF(C4="divocí krollové","Sluch","Nemá"))))))))))))</f>
        <v>Sluch</v>
      </c>
      <c r="K31" s="93"/>
      <c r="R31" s="77"/>
      <c r="S31" s="77"/>
      <c r="T31" s="77"/>
      <c r="U31" s="77"/>
      <c r="V31" s="77"/>
      <c r="W31" s="77"/>
      <c r="X31" s="78"/>
      <c r="Y31" s="78"/>
      <c r="Z31" s="78"/>
      <c r="AA31" s="78"/>
      <c r="AB31" s="78"/>
      <c r="AC31" s="78"/>
      <c r="AD31" s="78"/>
      <c r="AE31" s="78"/>
      <c r="AF31" s="78"/>
      <c r="AG31" s="5"/>
      <c r="AH31" s="5"/>
    </row>
    <row r="32" spans="1:34" ht="13.5" thickBot="1">
      <c r="A32" s="88"/>
      <c r="B32" s="33" t="s">
        <v>94</v>
      </c>
      <c r="C32" s="32">
        <v>2</v>
      </c>
      <c r="D32" s="155" t="str">
        <f>IF(C32=0,"Drobet jídla v kapse, špinavé potrhané hadry.",IF(C32=1,"Nějaké jídlo, nějaká malá otrhaná mošnička, ušpiněné potrhané hadry.",IF(C32=2,"Orezlý nůž, jídlo, malá mošnička, umazané hadry.",IF(C32=3,"Nůž, jídlo, malý tlumok, hadry.",IF(C32=4,"Nůž, dobré jídlo, tlumok, běžné oblečení, boty, nekvalitní zbraň (sekera, kyj).",IF(C32=5,"Nůž, dobré jídlo, tlumok, slušné oblečení, nekvalitní kovová zbraň (meč), boty.",IF(C32=6,"Zbraň (meč), torna, jídlo, nůž, zdobené oblečení, boty, láhev alkoholu.",IF(C32=7,"Kůň, kvalitní zbraň, (případně) lehká zbroj, jídlo, torna, nůž, dvoje oblečení, dobré boty, láhev alkoholu.","Sluha či osobní stráž, kvalitní zbraň, kůň, zbroj, nůž, troje oblečení, kvalitní boty, truhla, torna, dobré jídlo."))))))))</f>
        <v>Orezlý nůž, jídlo, malá mošnička, umazané hadry.</v>
      </c>
      <c r="E32" s="156"/>
      <c r="F32" s="156"/>
      <c r="G32" s="156"/>
      <c r="H32" s="156"/>
      <c r="I32" s="156"/>
      <c r="J32" s="4"/>
      <c r="K32" s="93"/>
      <c r="R32" s="77"/>
      <c r="S32" s="77"/>
      <c r="T32" s="77"/>
      <c r="U32" s="77"/>
      <c r="V32" s="77"/>
      <c r="W32" s="77"/>
      <c r="X32" s="78"/>
      <c r="Y32" s="78"/>
      <c r="Z32" s="78">
        <v>0</v>
      </c>
      <c r="AA32" s="79" t="s">
        <v>118</v>
      </c>
      <c r="AB32" s="78"/>
      <c r="AC32" s="78" t="s">
        <v>139</v>
      </c>
      <c r="AD32" s="78"/>
      <c r="AE32" s="78"/>
      <c r="AF32" s="78"/>
      <c r="AG32" s="5"/>
      <c r="AH32" s="5"/>
    </row>
    <row r="33" spans="1:32" ht="13.5" thickBot="1">
      <c r="A33" s="88"/>
      <c r="D33" s="4"/>
      <c r="E33" s="75" t="str">
        <f>IF(C32=0,"Nalezenec",IF(C32=1,"Sirotek",IF(C32=2,"Z neúplné rodiny",IF(C32=3,"Z pochybné rodiny",IF(C32=4,"Ze slušné rodiny",IF(C32=5,"Z dobré rodiny",IF(C32=6,"Z velmi dobré a vlivné rodiny",IF(C32=7,"Šlechtic","Šlechtic z dobrého rodu"))))))))</f>
        <v>Z neúplné rodiny</v>
      </c>
      <c r="F33" s="4"/>
      <c r="G33" s="4"/>
      <c r="H33" s="4"/>
      <c r="I33" s="95" t="s">
        <v>146</v>
      </c>
      <c r="J33" s="138" t="str">
        <f>IF(C4="trpaslíci","Infravidění",IF(C4="skřeti","Infravidění",IF(C4="skurut","Infravidění",IF(C4="goblin","Infravidění",IF(C4="temní elfové","Infravidění",IF(C4="horští trpaslíci","Infravidění",IF(C4="lesní trpaslíci","Infravidění","Nemá")))))))</f>
        <v>Nemá</v>
      </c>
      <c r="K33" s="93"/>
      <c r="R33" s="77"/>
      <c r="S33" s="77"/>
      <c r="T33" s="77"/>
      <c r="U33" s="77"/>
      <c r="V33" s="77"/>
      <c r="W33" s="77" t="s">
        <v>60</v>
      </c>
      <c r="X33" s="77" t="s">
        <v>24</v>
      </c>
      <c r="Y33" s="77"/>
      <c r="Z33" s="77">
        <v>1</v>
      </c>
      <c r="AA33" s="79" t="s">
        <v>124</v>
      </c>
      <c r="AB33" s="77"/>
      <c r="AC33" s="77" t="s">
        <v>140</v>
      </c>
      <c r="AD33" s="77"/>
      <c r="AE33" s="77"/>
      <c r="AF33" s="77"/>
    </row>
    <row r="34" spans="1:32" ht="13.5" thickBot="1">
      <c r="A34" s="88"/>
      <c r="B34" s="33" t="s">
        <v>95</v>
      </c>
      <c r="C34" s="32">
        <v>0</v>
      </c>
      <c r="E34" s="30" t="str">
        <f>IF(C34=0,"1 stříbrňák",IF(C34=1,"3 stříbrňáky",IF(C34=2,"1 zlaťák",IF(C34=3,"3 zlaťáky",IF(C34=4,"10 zlaťáků",IF(C34=5,"30 zlaťáků",IF(C34=6,"100 zlaťáků",IF(C34=7,"300 zlaťáků","1 000 zlaťáků"))))))))</f>
        <v>1 stříbrňák</v>
      </c>
      <c r="K34" s="93"/>
      <c r="R34" s="77"/>
      <c r="S34" s="77"/>
      <c r="T34" s="77"/>
      <c r="U34" s="77"/>
      <c r="V34" s="77"/>
      <c r="W34" s="77" t="s">
        <v>61</v>
      </c>
      <c r="X34" s="77" t="s">
        <v>54</v>
      </c>
      <c r="Y34" s="77"/>
      <c r="Z34" s="77">
        <v>2</v>
      </c>
      <c r="AA34" s="79" t="s">
        <v>125</v>
      </c>
      <c r="AB34" s="77"/>
      <c r="AC34" s="77" t="s">
        <v>141</v>
      </c>
      <c r="AD34" s="77"/>
      <c r="AE34" s="77"/>
      <c r="AF34" s="77"/>
    </row>
    <row r="35" spans="1:32" ht="13.5" thickBot="1">
      <c r="A35" s="88"/>
      <c r="I35" s="95" t="s">
        <v>10</v>
      </c>
      <c r="J35" s="56">
        <f>(C12+C14)/2+0.5*C20</f>
        <v>-2</v>
      </c>
      <c r="K35" s="93"/>
      <c r="R35" s="77"/>
      <c r="S35" s="77"/>
      <c r="T35" s="77"/>
      <c r="U35" s="77"/>
      <c r="V35" s="77"/>
      <c r="W35" s="77" t="s">
        <v>62</v>
      </c>
      <c r="X35" s="77" t="s">
        <v>19</v>
      </c>
      <c r="Y35" s="77"/>
      <c r="Z35" s="77">
        <v>3</v>
      </c>
      <c r="AA35" s="79" t="s">
        <v>126</v>
      </c>
      <c r="AB35" s="77"/>
      <c r="AC35" s="77"/>
      <c r="AD35" s="77"/>
      <c r="AE35" s="77"/>
      <c r="AF35" s="77"/>
    </row>
    <row r="36" spans="1:32" ht="13.5" thickBot="1">
      <c r="A36" s="88"/>
      <c r="B36" s="33" t="s">
        <v>86</v>
      </c>
      <c r="C36" s="131">
        <v>3</v>
      </c>
      <c r="D36" s="132" t="s">
        <v>96</v>
      </c>
      <c r="E36" s="133" t="s">
        <v>97</v>
      </c>
      <c r="F36" s="133" t="s">
        <v>98</v>
      </c>
      <c r="G36" s="134" t="s">
        <v>99</v>
      </c>
      <c r="K36" s="93"/>
      <c r="R36" s="77"/>
      <c r="S36" s="77"/>
      <c r="T36" s="77"/>
      <c r="U36" s="77"/>
      <c r="V36" s="77"/>
      <c r="W36" s="77" t="s">
        <v>63</v>
      </c>
      <c r="X36" s="77" t="s">
        <v>55</v>
      </c>
      <c r="Y36" s="77"/>
      <c r="Z36" s="77">
        <v>4</v>
      </c>
      <c r="AA36" s="79" t="s">
        <v>127</v>
      </c>
      <c r="AB36" s="77"/>
      <c r="AC36" s="77"/>
      <c r="AD36" s="77"/>
      <c r="AE36" s="77"/>
      <c r="AF36" s="77"/>
    </row>
    <row r="37" spans="1:32" ht="13.5" thickBot="1">
      <c r="A37" s="88"/>
      <c r="D37" s="135">
        <f>IF($C$36=0,IF(J28="individualista",2,IF(J28="řežič",2,IF(J28="poberta",1,0))),IF($C$36=1,IF(J28="individualista",2,IF(J28="řežič",3,IF(J28="poberta",2,IF(J28="magič",1,0)))),IF($C$36=2,IF(J28="individualista",3,IF(J28="řežič",4,IF(J28="poberta",2,IF(J28="démonolog",0,1)))),IF($C$36=3,IF(J28="individualista",3,IF(J28="řežič",4,IF(J28="poberta",3,IF(J28="magič",2,1)))),IF($C$36=4,IF(J28="individualista",4,IF(J28="řežič",5,IF(J28="poberta",4,IF(J28="démonolog",1,2)))),IF($C$36=5,IF(J28="individualista",5,IF(J28="řežič",6,IF(J28="poberta",5,IF(J28="magič",3,2)))),IF($C$36=6,IF(J28="individualista",6,IF(J28="řežič",8,IF(J28="poberta",6,IF(J28="démonolog",2,IF(J28="magič",4,3))))),IF($C$36=7,IF(J28="individualista",8,IF(J28="řežič",10,IF(J28="poberta",8,IF(J28="démonolog",3,IF(J28="demagog",4,5))))),IF(J28="individualista",10,IF(J28="řežič",12,IF(J28="poberta",9,IF(J28="démonolog",4,IF(J28="magič",6,5)))))))))))))+IF(C6="bojovník",(3+(J41-1)),IF(C6="bojovnice",(3+(J41-1)),0))</f>
        <v>7</v>
      </c>
      <c r="E37" s="136">
        <f>IF($C$36=0,IF(J28="individualista",0,IF(J28="řežič",0,IF(J28="démonolog",2,IF(J28="magič",3,1)))),IF($C$36=1,IF(J28="poberta",1,IF(J28="démonolog",3,IF(J28="magič",3,IF(J28="demagog",2,0)))),IF($C$36=2,IF(J28="individualista",0,IF(J28="řežič",0,IF(J28="poberta",1,IF(J28="demagog",2,4)))),IF($C$36=3,IF(J28="individualista",1,IF(J28="řežič",1,IF(J28="poberta",2,IF(J28="demagog",3,4)))),IF($C$36=4,IF(J28="individualista",1,IF(J28="řežič",1,IF(J28="poberta",2,IF(J28="demagog",3,5)))),IF($C$36=5,IF(J28="individualista",1,IF(J28="řežič",2,IF(J28="poberta",2,IF(J28="demagog",4,6)))),IF($C$36=6,IF(J28="individualista",2,IF(J28="řežič",2,IF(J28="poberta",3,IF(J28="démonolog",8,IF(J28="magič",7,5))))),IF($C$36=7,IF(J28="individualista",3,IF(J28="řežič",3,IF(J28="poberta",4,IF(J28="démonolog",10,IF(J28="demagog",7,9))))),IF(J28="individualista",4,IF(J28="řežič",4,IF(J28="poberta",6,IF(J28="démonolog",12,IF(J28="magič",11,9)))))))))))))</f>
        <v>1</v>
      </c>
      <c r="F37" s="136">
        <f>IF($C$36=0,IF(J28="demagog",2,IF(J28="magič",0,1)),IF($C$36=1,IF(J28="individualista",2,IF(J28="demagog",2,1)),IF($C$36=2,IF(J28="magič",0,IF(J28="řežič",1,IF(J28="démonolog",1,2))),IF($C$36=3,IF(J28="individualista",3,IF(J28="magič",1,IF(J28="demagog",3,2))),IF($C$36=4,IF(J28="individualista",4,IF(J28="magič",2,IF(J28="demagog",4,3))),IF($C$36=5,IF(J28="individualista",5,IF(J28="magič",2,IF(J28="poberta",4,IF(J28="demagog",5,3)))),IF($C$36=6,IF(J28="řežič",4,IF(J28="magič",3,IF(J28="poberta",5,IF(J28="démonolog",4,6)))),IF($C$36=7,IF(J28="individualista",7,IF(J28="řežič",5,IF(J28="poberta",6,IF(J28="démonolog",5,IF(J28="demagog",7,4))))),IF(J28="individualista",8,IF(J28="řežič",6,IF(J28="poberta",7,IF(J28="démonolog",6,IF(J28="magič",4,8)))))))))))))</f>
        <v>2</v>
      </c>
      <c r="G37" s="137">
        <f>(J41-1)/2+1</f>
        <v>1</v>
      </c>
      <c r="I37" s="93" t="s">
        <v>11</v>
      </c>
      <c r="J37" s="2">
        <f>(C10+C16)/2+0.5*C20</f>
        <v>2</v>
      </c>
      <c r="K37" s="93"/>
      <c r="R37" s="77"/>
      <c r="S37" s="77"/>
      <c r="T37" s="77"/>
      <c r="U37" s="77"/>
      <c r="V37" s="77"/>
      <c r="W37" s="77" t="s">
        <v>64</v>
      </c>
      <c r="X37" s="77" t="s">
        <v>20</v>
      </c>
      <c r="Y37" s="77"/>
      <c r="Z37" s="77">
        <v>5</v>
      </c>
      <c r="AA37" s="79" t="s">
        <v>128</v>
      </c>
      <c r="AB37" s="77"/>
      <c r="AC37" s="77"/>
      <c r="AD37" s="77"/>
      <c r="AE37" s="77"/>
      <c r="AF37" s="77"/>
    </row>
    <row r="38" spans="1:32" ht="13.5" thickBot="1">
      <c r="A38" s="88"/>
      <c r="J38" s="3"/>
      <c r="K38" s="93"/>
      <c r="R38" s="77"/>
      <c r="S38" s="77"/>
      <c r="T38" s="77"/>
      <c r="U38" s="77"/>
      <c r="V38" s="77"/>
      <c r="W38" s="77" t="s">
        <v>66</v>
      </c>
      <c r="X38" s="77" t="s">
        <v>56</v>
      </c>
      <c r="Y38" s="77"/>
      <c r="Z38" s="77">
        <v>6</v>
      </c>
      <c r="AA38" s="79" t="s">
        <v>129</v>
      </c>
      <c r="AB38" s="77"/>
      <c r="AC38" s="77"/>
      <c r="AD38" s="77"/>
      <c r="AE38" s="77"/>
      <c r="AF38" s="77"/>
    </row>
    <row r="39" spans="1:32" ht="13.5" thickBot="1">
      <c r="A39" s="88"/>
      <c r="B39" s="5"/>
      <c r="C39" s="5"/>
      <c r="I39" s="93" t="s">
        <v>12</v>
      </c>
      <c r="J39" s="2">
        <f>(C16+C18)/2+0.5*C20</f>
        <v>-1.5</v>
      </c>
      <c r="K39" s="93"/>
      <c r="R39" s="77"/>
      <c r="S39" s="77"/>
      <c r="T39" s="77"/>
      <c r="U39" s="77"/>
      <c r="V39" s="77"/>
      <c r="W39" s="77" t="s">
        <v>65</v>
      </c>
      <c r="X39" s="77" t="s">
        <v>21</v>
      </c>
      <c r="Y39" s="77"/>
      <c r="Z39" s="77">
        <v>7</v>
      </c>
      <c r="AA39" s="79" t="s">
        <v>130</v>
      </c>
      <c r="AB39" s="77"/>
      <c r="AC39" s="77"/>
      <c r="AD39" s="77"/>
      <c r="AE39" s="77"/>
      <c r="AF39" s="77"/>
    </row>
    <row r="40" spans="1:32" ht="13.5" thickBot="1">
      <c r="A40" s="89"/>
      <c r="E40" s="6"/>
      <c r="F40" s="6"/>
      <c r="G40" s="6"/>
      <c r="H40" s="6"/>
      <c r="K40" s="93"/>
      <c r="R40" s="77"/>
      <c r="S40" s="77"/>
      <c r="T40" s="77"/>
      <c r="U40" s="77"/>
      <c r="V40" s="77"/>
      <c r="W40" s="77" t="s">
        <v>29</v>
      </c>
      <c r="X40" s="77" t="s">
        <v>57</v>
      </c>
      <c r="Y40" s="77"/>
      <c r="Z40" s="77">
        <v>8</v>
      </c>
      <c r="AA40" s="79" t="s">
        <v>131</v>
      </c>
      <c r="AB40" s="77"/>
      <c r="AC40" s="77"/>
      <c r="AD40" s="77"/>
      <c r="AE40" s="77"/>
      <c r="AF40" s="77"/>
    </row>
    <row r="41" spans="1:32" ht="13.5" thickBot="1">
      <c r="A41" s="88"/>
      <c r="I41" s="13" t="s">
        <v>6</v>
      </c>
      <c r="J41" s="25">
        <v>1</v>
      </c>
      <c r="K41" s="93"/>
      <c r="R41" s="77"/>
      <c r="S41" s="77"/>
      <c r="T41" s="77"/>
      <c r="U41" s="77"/>
      <c r="V41" s="77"/>
      <c r="W41" s="77" t="s">
        <v>31</v>
      </c>
      <c r="X41" s="77" t="s">
        <v>22</v>
      </c>
      <c r="Y41" s="77"/>
      <c r="Z41" s="77">
        <v>9</v>
      </c>
      <c r="AA41" s="79" t="s">
        <v>132</v>
      </c>
      <c r="AB41" s="77"/>
      <c r="AC41" s="77"/>
      <c r="AD41" s="77"/>
      <c r="AE41" s="77"/>
      <c r="AF41" s="77"/>
    </row>
    <row r="42" spans="1:32" ht="13.5" thickBot="1">
      <c r="A42" s="88"/>
      <c r="C42" s="141"/>
      <c r="K42" s="93"/>
      <c r="R42" s="77"/>
      <c r="S42" s="77"/>
      <c r="T42" s="77"/>
      <c r="U42" s="77"/>
      <c r="V42" s="77"/>
      <c r="W42" s="77" t="s">
        <v>32</v>
      </c>
      <c r="X42" s="77" t="s">
        <v>58</v>
      </c>
      <c r="Y42" s="77"/>
      <c r="Z42" s="77">
        <v>10</v>
      </c>
      <c r="AA42" s="77"/>
      <c r="AB42" s="77"/>
      <c r="AC42" s="77"/>
      <c r="AD42" s="77"/>
      <c r="AE42" s="77"/>
      <c r="AF42" s="77"/>
    </row>
    <row r="43" spans="1:32" ht="13.5" thickBot="1">
      <c r="A43" s="88"/>
      <c r="B43" s="104" t="s">
        <v>14</v>
      </c>
      <c r="C43" s="140">
        <f>IF($C$26&lt;150,-1,IF($C$26&gt;180,1,0))+IF($C$6="Bojovník",$D$13,IF($C$6="Zloděj",($D$13+$C$14)/2,IF($C$6="Hraničář",($D$13+$C$14)/2,IF($C$6="Čaroděj",($C$18+$D$13)/2,IF($C$6="Theurg",($C$18+$D$13)/2,IF($C$6="kněz",($D$13+$C$20)/2,IF($C$6="bojovnice",$D$13,IF($C$6="hraničářka",($D$13+$C$14)/2,IF($C$6="zlodějka",($D$13+$C$14)/2,IF($C$6="čarodějka",($C$18+$D$13)/2,IF($C$6="theurgé",($C$18+$D$13)/2,($C$20+$D$13/2))))))))))))+IF($C$6="bojovník",1,0)</f>
        <v>0</v>
      </c>
      <c r="E43" s="37" t="s">
        <v>111</v>
      </c>
      <c r="F43" s="38" t="s">
        <v>113</v>
      </c>
      <c r="G43" s="39" t="s">
        <v>84</v>
      </c>
      <c r="H43" s="38" t="s">
        <v>116</v>
      </c>
      <c r="I43" s="97" t="s">
        <v>112</v>
      </c>
      <c r="J43" s="108" t="s">
        <v>121</v>
      </c>
      <c r="K43" s="93"/>
      <c r="L43" s="4"/>
      <c r="N43" s="4"/>
      <c r="R43" s="77"/>
      <c r="S43" s="77"/>
      <c r="T43" s="77"/>
      <c r="U43" s="77"/>
      <c r="V43" s="77"/>
      <c r="W43" s="77" t="s">
        <v>33</v>
      </c>
      <c r="X43" s="77" t="s">
        <v>23</v>
      </c>
      <c r="Y43" s="77"/>
      <c r="Z43" s="77">
        <v>11</v>
      </c>
      <c r="AA43" s="77"/>
      <c r="AB43" s="77"/>
      <c r="AC43" s="77"/>
      <c r="AD43" s="77"/>
      <c r="AE43" s="77"/>
      <c r="AF43" s="77"/>
    </row>
    <row r="44" spans="1:32" ht="13.5" thickBot="1">
      <c r="A44" s="88"/>
      <c r="B44" s="105" t="s">
        <v>15</v>
      </c>
      <c r="C44" s="55">
        <f>$D$13/2-0.5</f>
        <v>-0.5</v>
      </c>
      <c r="E44" s="57"/>
      <c r="F44" s="35"/>
      <c r="G44" s="53"/>
      <c r="H44" s="147" t="s">
        <v>107</v>
      </c>
      <c r="I44" s="58">
        <f>IF(J44&lt;1,0,IF(J44&lt;4,-2,IF(J44&lt;7,-4,IF(J44&lt;9,-8,IF(J44&lt;11,-12,"Nemůže se hýbat")))))</f>
        <v>0</v>
      </c>
      <c r="J44" s="51">
        <f>-(C10-(G44+C23))</f>
        <v>-1</v>
      </c>
      <c r="K44" s="93"/>
      <c r="R44" s="77"/>
      <c r="S44" s="77"/>
      <c r="T44" s="77"/>
      <c r="U44" s="77"/>
      <c r="V44" s="77"/>
      <c r="W44" s="77" t="s">
        <v>30</v>
      </c>
      <c r="X44" s="77" t="s">
        <v>59</v>
      </c>
      <c r="Y44" s="77"/>
      <c r="Z44" s="77">
        <v>12</v>
      </c>
      <c r="AA44" s="77"/>
      <c r="AB44" s="77"/>
      <c r="AC44" s="77"/>
      <c r="AD44" s="77"/>
      <c r="AE44" s="77"/>
      <c r="AF44" s="77"/>
    </row>
    <row r="45" spans="1:32" ht="13.5" thickBot="1">
      <c r="A45" s="88"/>
      <c r="B45" s="105" t="s">
        <v>16</v>
      </c>
      <c r="C45" s="56">
        <f>$C$14/2-0.5+IF(C44="#HODNOTA","#HODNOTA",)</f>
        <v>-1.5</v>
      </c>
      <c r="D45" s="4"/>
      <c r="E45" s="59"/>
      <c r="F45" s="144"/>
      <c r="G45" s="54"/>
      <c r="H45" s="52"/>
      <c r="I45" s="60" t="str">
        <f>IF(J44&lt;1,"Lehká zbroj",IF(J44&lt;4,"Střední zbroj",IF(J44&lt;7,"Těžká zbroj",IF(J44&lt;9,"Velmi těžká",IF(J44&lt;11,"Extrémní","Neúnosná")))))</f>
        <v>Lehká zbroj</v>
      </c>
      <c r="J45" s="107" t="str">
        <f>IF(-J44&lt;1,"Síla chybí","Síla nechybí")</f>
        <v>Síla nechybí</v>
      </c>
      <c r="K45" s="93"/>
      <c r="R45" s="77"/>
      <c r="S45" s="77"/>
      <c r="T45" s="77"/>
      <c r="U45" s="77"/>
      <c r="V45" s="77"/>
      <c r="W45" s="77" t="s">
        <v>34</v>
      </c>
      <c r="X45" s="77" t="s">
        <v>60</v>
      </c>
      <c r="Y45" s="77"/>
      <c r="Z45" s="77">
        <v>13</v>
      </c>
      <c r="AA45" s="77"/>
      <c r="AB45" s="77"/>
      <c r="AC45" s="77"/>
      <c r="AD45" s="77"/>
      <c r="AE45" s="77"/>
      <c r="AF45" s="77"/>
    </row>
    <row r="46" spans="1:32" ht="13.5" thickBot="1">
      <c r="A46" s="88"/>
      <c r="B46" s="106" t="s">
        <v>17</v>
      </c>
      <c r="C46" s="56">
        <f>$D$13/2</f>
        <v>0</v>
      </c>
      <c r="D46" s="4"/>
      <c r="E46" s="139" t="str">
        <f>IF(I45="neúnosná","Postava je přetížená a nemůže bojovat ani chodit!","´")</f>
        <v>´</v>
      </c>
      <c r="K46" s="93"/>
      <c r="R46" s="77"/>
      <c r="S46" s="77"/>
      <c r="T46" s="77"/>
      <c r="U46" s="77"/>
      <c r="V46" s="77"/>
      <c r="W46" s="77" t="s">
        <v>35</v>
      </c>
      <c r="X46" s="77" t="s">
        <v>78</v>
      </c>
      <c r="Y46" s="77"/>
      <c r="Z46" s="77">
        <v>14</v>
      </c>
      <c r="AA46" s="77"/>
      <c r="AB46" s="77"/>
      <c r="AC46" s="77"/>
      <c r="AD46" s="77"/>
      <c r="AE46" s="77"/>
      <c r="AF46" s="77"/>
    </row>
    <row r="47" spans="1:32">
      <c r="A47" s="87">
        <f>LEN(B49)+LEN(C49)+LEN(D49)+LEN(E49)+LEN(F49)</f>
        <v>0</v>
      </c>
      <c r="B47" s="4"/>
      <c r="C47" s="4"/>
      <c r="D47" s="4"/>
      <c r="E47" s="4"/>
      <c r="F47" s="4"/>
      <c r="G47" s="4"/>
      <c r="H47" s="4"/>
      <c r="K47" s="93"/>
      <c r="R47" s="77"/>
      <c r="S47" s="77"/>
      <c r="T47" s="77"/>
      <c r="U47" s="77"/>
      <c r="V47" s="77"/>
      <c r="W47" s="77" t="s">
        <v>36</v>
      </c>
      <c r="X47" s="77" t="s">
        <v>61</v>
      </c>
      <c r="Y47" s="77"/>
      <c r="Z47" s="77">
        <v>15</v>
      </c>
      <c r="AA47" s="77"/>
      <c r="AB47" s="77"/>
      <c r="AC47" s="77"/>
      <c r="AD47" s="77"/>
      <c r="AE47" s="77"/>
      <c r="AF47" s="77"/>
    </row>
    <row r="48" spans="1:32" ht="13.5" thickBot="1">
      <c r="A48" s="87"/>
      <c r="B48" s="43" t="s">
        <v>80</v>
      </c>
      <c r="C48" s="44" t="s">
        <v>81</v>
      </c>
      <c r="D48" s="44" t="s">
        <v>82</v>
      </c>
      <c r="E48" s="44" t="s">
        <v>83</v>
      </c>
      <c r="F48" s="44" t="s">
        <v>84</v>
      </c>
      <c r="G48" s="44" t="s">
        <v>119</v>
      </c>
      <c r="H48" s="44" t="s">
        <v>115</v>
      </c>
      <c r="I48" s="100" t="s">
        <v>85</v>
      </c>
      <c r="J48" s="101" t="s">
        <v>121</v>
      </c>
      <c r="K48" s="93"/>
      <c r="R48" s="77"/>
      <c r="S48" s="77"/>
      <c r="T48" s="77"/>
      <c r="U48" s="77"/>
      <c r="V48" s="77"/>
      <c r="W48" s="77" t="s">
        <v>37</v>
      </c>
      <c r="X48" s="77" t="s">
        <v>76</v>
      </c>
      <c r="Y48" s="77"/>
      <c r="Z48" s="77">
        <v>16</v>
      </c>
      <c r="AA48" s="77"/>
      <c r="AB48" s="77"/>
      <c r="AC48" s="77"/>
      <c r="AD48" s="77"/>
      <c r="AE48" s="77"/>
      <c r="AF48" s="77"/>
    </row>
    <row r="49" spans="1:32" ht="13.5" thickBot="1">
      <c r="A49" s="87"/>
      <c r="B49" s="45"/>
      <c r="C49" s="35"/>
      <c r="D49" s="61"/>
      <c r="E49" s="35"/>
      <c r="F49" s="53"/>
      <c r="G49" s="146" t="s">
        <v>118</v>
      </c>
      <c r="H49" s="23" t="s">
        <v>107</v>
      </c>
      <c r="I49" s="58">
        <f>IF(J49&lt;1,0,IF(J49&lt;1,1,IF(J49&lt;3,1,IF(J49&lt;5,2,IF(J49&lt;7,3,IF(J49&lt;9,4,IF(J49&lt;11,5,"Nepoužitelná")))))))</f>
        <v>0</v>
      </c>
      <c r="J49" s="50">
        <f>-(C10-F50)</f>
        <v>-4</v>
      </c>
      <c r="K49" s="93"/>
      <c r="R49" s="77"/>
      <c r="S49" s="77"/>
      <c r="T49" s="77"/>
      <c r="U49" s="77"/>
      <c r="V49" s="77"/>
      <c r="W49" s="77" t="s">
        <v>38</v>
      </c>
      <c r="X49" s="77" t="s">
        <v>77</v>
      </c>
      <c r="Y49" s="77"/>
      <c r="Z49" s="77">
        <v>17</v>
      </c>
      <c r="AA49" s="77"/>
      <c r="AB49" s="77"/>
      <c r="AC49" s="77"/>
      <c r="AD49" s="77"/>
      <c r="AE49" s="77"/>
      <c r="AF49" s="77"/>
    </row>
    <row r="50" spans="1:32">
      <c r="A50" s="87"/>
      <c r="B50" s="62"/>
      <c r="C50" s="49" t="s">
        <v>143</v>
      </c>
      <c r="D50" s="63" t="s">
        <v>139</v>
      </c>
      <c r="E50" s="47"/>
      <c r="F50" s="76">
        <f>F49+IF(D50="nedominantní ruka",2,IF(D50="obouručně",-2,0))</f>
        <v>0</v>
      </c>
      <c r="G50" s="76">
        <f>IF(J49&lt;2,0,IF(J49&lt;2,1,IF(J49&lt;4,1,IF(J49&lt;6,2,IF(J49&lt;8,3,IF(J49&lt;10,4,IF(J49&lt;11,5,"Nepoužitelná")))))))</f>
        <v>0</v>
      </c>
      <c r="H50" s="47"/>
      <c r="I50" s="46"/>
      <c r="J50" s="103" t="str">
        <f>IF(-J49&lt;1,IF(-J49=0,"Síla nechybí","Síla chybí"),"Síla nechybí")</f>
        <v>Síla nechybí</v>
      </c>
      <c r="K50" s="93"/>
      <c r="L50" s="4"/>
      <c r="M50" s="4"/>
      <c r="O50" s="4"/>
      <c r="R50" s="77"/>
      <c r="S50" s="77"/>
      <c r="T50" s="77"/>
      <c r="U50" s="77"/>
      <c r="V50" s="77"/>
      <c r="W50" s="77" t="s">
        <v>39</v>
      </c>
      <c r="X50" s="77" t="s">
        <v>62</v>
      </c>
      <c r="Y50" s="77"/>
      <c r="Z50" s="77">
        <v>18</v>
      </c>
      <c r="AA50" s="77"/>
      <c r="AB50" s="77"/>
      <c r="AC50" s="77"/>
      <c r="AD50" s="77"/>
      <c r="AE50" s="77"/>
      <c r="AF50" s="77"/>
    </row>
    <row r="51" spans="1:32">
      <c r="A51" s="87">
        <f>LEN(B54)+LEN(C54)+LEN(D54)+LEN(E54)+LEN(F54)</f>
        <v>0</v>
      </c>
      <c r="K51" s="93"/>
      <c r="R51" s="77"/>
      <c r="S51" s="77"/>
      <c r="T51" s="77"/>
      <c r="U51" s="77"/>
      <c r="V51" s="77"/>
      <c r="W51" s="77" t="s">
        <v>25</v>
      </c>
      <c r="X51" s="77" t="s">
        <v>74</v>
      </c>
      <c r="Y51" s="77"/>
      <c r="Z51" s="77">
        <v>19</v>
      </c>
      <c r="AA51" s="77"/>
      <c r="AB51" s="77"/>
      <c r="AC51" s="77"/>
      <c r="AD51" s="77"/>
      <c r="AE51" s="77"/>
      <c r="AF51" s="77"/>
    </row>
    <row r="52" spans="1:32">
      <c r="A52" s="88"/>
      <c r="K52" s="93"/>
      <c r="R52" s="77"/>
      <c r="S52" s="77"/>
      <c r="T52" s="77"/>
      <c r="U52" s="77"/>
      <c r="V52" s="77"/>
      <c r="W52" s="77" t="s">
        <v>40</v>
      </c>
      <c r="X52" s="77" t="s">
        <v>75</v>
      </c>
      <c r="Y52" s="77"/>
      <c r="Z52" s="77">
        <v>20</v>
      </c>
      <c r="AA52" s="77"/>
      <c r="AB52" s="77"/>
      <c r="AC52" s="77"/>
      <c r="AD52" s="77"/>
      <c r="AE52" s="77"/>
      <c r="AF52" s="77"/>
    </row>
    <row r="53" spans="1:32" ht="13.5" thickBot="1">
      <c r="A53" s="88"/>
      <c r="B53" s="43" t="s">
        <v>137</v>
      </c>
      <c r="C53" s="44" t="s">
        <v>81</v>
      </c>
      <c r="D53" s="44" t="s">
        <v>82</v>
      </c>
      <c r="E53" s="44" t="s">
        <v>83</v>
      </c>
      <c r="F53" s="44" t="s">
        <v>84</v>
      </c>
      <c r="G53" s="44" t="s">
        <v>119</v>
      </c>
      <c r="H53" s="44" t="s">
        <v>115</v>
      </c>
      <c r="I53" s="100" t="s">
        <v>85</v>
      </c>
      <c r="J53" s="101" t="s">
        <v>121</v>
      </c>
      <c r="K53" s="93"/>
      <c r="R53" s="77"/>
      <c r="S53" s="77"/>
      <c r="T53" s="77"/>
      <c r="U53" s="77"/>
      <c r="V53" s="77"/>
      <c r="W53" s="77" t="s">
        <v>41</v>
      </c>
      <c r="X53" s="77" t="s">
        <v>63</v>
      </c>
      <c r="Y53" s="80"/>
      <c r="Z53" s="80">
        <v>21</v>
      </c>
      <c r="AA53" s="80"/>
      <c r="AB53" s="77"/>
      <c r="AC53" s="77"/>
      <c r="AD53" s="77"/>
      <c r="AE53" s="77"/>
      <c r="AF53" s="77"/>
    </row>
    <row r="54" spans="1:32" ht="13.5" thickBot="1">
      <c r="A54" s="88"/>
      <c r="B54" s="45"/>
      <c r="C54" s="61"/>
      <c r="D54" s="35"/>
      <c r="E54" s="61"/>
      <c r="F54" s="53"/>
      <c r="G54" s="146" t="s">
        <v>118</v>
      </c>
      <c r="H54" s="23" t="s">
        <v>107</v>
      </c>
      <c r="I54" s="58">
        <f>IF(J54&lt;1,0,IF(J54&lt;1,1,IF(J54&lt;3,1,IF(J54&lt;5,2,IF(J54&lt;7,3,IF(J54&lt;9,4,IF(J54&lt;11,5,"Nepoužitelná")))))))</f>
        <v>0</v>
      </c>
      <c r="J54" s="50">
        <f>-(C10-F55)</f>
        <v>-2</v>
      </c>
      <c r="K54" s="93"/>
      <c r="R54" s="77"/>
      <c r="S54" s="77"/>
      <c r="T54" s="77"/>
      <c r="U54" s="77"/>
      <c r="V54" s="77"/>
      <c r="W54" s="77" t="s">
        <v>42</v>
      </c>
      <c r="X54" s="77" t="s">
        <v>64</v>
      </c>
      <c r="Y54" s="80"/>
      <c r="Z54" s="80" t="s">
        <v>107</v>
      </c>
      <c r="AA54" s="80"/>
      <c r="AB54" s="77"/>
      <c r="AC54" s="77"/>
      <c r="AD54" s="77"/>
      <c r="AE54" s="77"/>
      <c r="AF54" s="77"/>
    </row>
    <row r="55" spans="1:32">
      <c r="A55" s="87">
        <f>LEN(B59)+LEN(C59)+LEN(E59)+LEN(D59)</f>
        <v>0</v>
      </c>
      <c r="B55" s="48" t="s">
        <v>138</v>
      </c>
      <c r="C55" s="63" t="s">
        <v>142</v>
      </c>
      <c r="D55" s="81" t="s">
        <v>143</v>
      </c>
      <c r="E55" s="63" t="s">
        <v>140</v>
      </c>
      <c r="F55" s="76">
        <f>F54+IF(E55="nedominantní ruka",2,IF(D50="obouručně",-2,0))</f>
        <v>2</v>
      </c>
      <c r="G55" s="76">
        <f>IF(J54&lt;2,0,IF(J54&lt;2,1,IF(J54&lt;4,1,IF(J54&lt;6,2,IF(J54&lt;8,3,IF(J54&lt;10,4,IF(J54&lt;11,5,"Nepoužitelná")))))))</f>
        <v>0</v>
      </c>
      <c r="H55" s="64"/>
      <c r="I55" s="46"/>
      <c r="J55" s="103" t="str">
        <f>IF(-J54&lt;1,IF(-J54=0,"Síla nechybí","Síla chybí"),"Síla nechybí")</f>
        <v>Síla nechybí</v>
      </c>
      <c r="K55" s="93"/>
      <c r="R55" s="77"/>
      <c r="S55" s="77"/>
      <c r="T55" s="77"/>
      <c r="U55" s="77"/>
      <c r="V55" s="77"/>
      <c r="W55" s="77" t="s">
        <v>43</v>
      </c>
      <c r="X55" s="77" t="s">
        <v>73</v>
      </c>
      <c r="Y55" s="80"/>
      <c r="Z55" s="80" t="s">
        <v>106</v>
      </c>
      <c r="AA55" s="80"/>
      <c r="AB55" s="77"/>
      <c r="AC55" s="77"/>
      <c r="AD55" s="77"/>
      <c r="AE55" s="77"/>
      <c r="AF55" s="77"/>
    </row>
    <row r="56" spans="1:32">
      <c r="A56" s="88"/>
      <c r="K56" s="93"/>
      <c r="R56" s="77"/>
      <c r="S56" s="77"/>
      <c r="T56" s="77"/>
      <c r="U56" s="77"/>
      <c r="V56" s="77"/>
      <c r="W56" s="77" t="s">
        <v>44</v>
      </c>
      <c r="X56" s="77" t="s">
        <v>66</v>
      </c>
      <c r="Y56" s="80"/>
      <c r="Z56" s="80" t="s">
        <v>108</v>
      </c>
      <c r="AA56" s="80"/>
      <c r="AB56" s="77"/>
      <c r="AC56" s="77"/>
      <c r="AD56" s="77"/>
      <c r="AE56" s="77"/>
      <c r="AF56" s="77"/>
    </row>
    <row r="57" spans="1:32">
      <c r="A57" s="90"/>
      <c r="B57" s="4"/>
      <c r="C57" s="4"/>
      <c r="D57" s="4"/>
      <c r="E57" s="4"/>
      <c r="G57" s="4"/>
      <c r="H57" s="4"/>
      <c r="K57" s="93"/>
      <c r="R57" s="77"/>
      <c r="S57" s="77"/>
      <c r="T57" s="77"/>
      <c r="U57" s="77"/>
      <c r="V57" s="77"/>
      <c r="W57" s="77" t="s">
        <v>28</v>
      </c>
      <c r="X57" s="77" t="s">
        <v>71</v>
      </c>
      <c r="Y57" s="80"/>
      <c r="Z57" s="80" t="s">
        <v>109</v>
      </c>
      <c r="AA57" s="80"/>
      <c r="AB57" s="77"/>
      <c r="AC57" s="77"/>
      <c r="AD57" s="77"/>
      <c r="AE57" s="77"/>
      <c r="AF57" s="77"/>
    </row>
    <row r="58" spans="1:32" ht="13.5" thickBot="1">
      <c r="A58" s="90"/>
      <c r="B58" s="43" t="s">
        <v>110</v>
      </c>
      <c r="C58" s="44" t="s">
        <v>83</v>
      </c>
      <c r="D58" s="44" t="s">
        <v>114</v>
      </c>
      <c r="E58" s="44" t="s">
        <v>84</v>
      </c>
      <c r="F58" s="44" t="s">
        <v>117</v>
      </c>
      <c r="G58" s="100" t="s">
        <v>85</v>
      </c>
      <c r="H58" s="101" t="s">
        <v>121</v>
      </c>
      <c r="K58" s="93"/>
      <c r="R58" s="77"/>
      <c r="S58" s="77"/>
      <c r="T58" s="77"/>
      <c r="U58" s="77"/>
      <c r="V58" s="77"/>
      <c r="W58" s="77" t="s">
        <v>50</v>
      </c>
      <c r="X58" s="77" t="s">
        <v>72</v>
      </c>
      <c r="Y58" s="80"/>
      <c r="Z58" s="80" t="s">
        <v>142</v>
      </c>
      <c r="AA58" s="80"/>
      <c r="AB58" s="77"/>
      <c r="AC58" s="77"/>
      <c r="AD58" s="77"/>
      <c r="AE58" s="77"/>
      <c r="AF58" s="77"/>
    </row>
    <row r="59" spans="1:32" ht="13.5" thickBot="1">
      <c r="A59" s="88"/>
      <c r="B59" s="45"/>
      <c r="C59" s="35"/>
      <c r="D59" s="53"/>
      <c r="E59" s="53"/>
      <c r="F59" s="145" t="s">
        <v>107</v>
      </c>
      <c r="G59" s="58">
        <f>IF(H59&lt;1,0,IF(H59&lt;1,1,IF(H59&lt;3,1,IF(H59&lt;5,2,IF(H59&lt;7,3,IF(H59&lt;9,4,IF(H59&lt;11,5,"Nepoužitelný")))))))</f>
        <v>0</v>
      </c>
      <c r="H59" s="65">
        <f>-(C10-E59)</f>
        <v>-4</v>
      </c>
      <c r="K59" s="93"/>
      <c r="R59" s="77"/>
      <c r="S59" s="77"/>
      <c r="T59" s="77"/>
      <c r="U59" s="77"/>
      <c r="V59" s="77"/>
      <c r="W59" s="77" t="s">
        <v>27</v>
      </c>
      <c r="X59" s="77" t="s">
        <v>65</v>
      </c>
      <c r="Y59" s="80"/>
      <c r="Z59" s="80"/>
      <c r="AA59" s="80"/>
      <c r="AB59" s="77"/>
      <c r="AC59" s="77"/>
      <c r="AD59" s="77"/>
      <c r="AE59" s="77"/>
      <c r="AF59" s="77"/>
    </row>
    <row r="60" spans="1:32">
      <c r="A60" s="88"/>
      <c r="B60" s="76">
        <f>IF(C55="2. stupeň",-2,IF(C55="0. stupeň",-6,IF(C55="1. stupeň",-4,0)))</f>
        <v>0</v>
      </c>
      <c r="C60" s="76">
        <f>IF(C55="2. stupeň",-1,IF(C55="0. stupeň",-4,IF(C55="1. stupeň",-2,0)))</f>
        <v>0</v>
      </c>
      <c r="D60" s="47"/>
      <c r="E60" s="47"/>
      <c r="F60" s="47"/>
      <c r="G60" s="47"/>
      <c r="H60" s="102" t="str">
        <f>IF(-H59&lt;1,IF(-H59=0,"Síla nechybí","Síla chybí"),"Síla nechybí")</f>
        <v>Síla nechybí</v>
      </c>
      <c r="K60" s="93"/>
      <c r="R60" s="77"/>
      <c r="S60" s="77"/>
      <c r="T60" s="77"/>
      <c r="U60" s="77"/>
      <c r="V60" s="77"/>
      <c r="W60" s="77" t="s">
        <v>51</v>
      </c>
      <c r="X60" s="77" t="s">
        <v>89</v>
      </c>
      <c r="Y60" s="77"/>
      <c r="Z60" s="77"/>
      <c r="AA60" s="77"/>
      <c r="AB60" s="77"/>
      <c r="AC60" s="77"/>
      <c r="AD60" s="77"/>
      <c r="AE60" s="77"/>
      <c r="AF60" s="77"/>
    </row>
    <row r="61" spans="1:32">
      <c r="A61" s="88"/>
      <c r="B61" s="77"/>
      <c r="C61" s="4"/>
      <c r="D61" s="4"/>
      <c r="E61" s="4"/>
      <c r="F61" s="4"/>
      <c r="G61" s="4"/>
      <c r="H61" s="4"/>
      <c r="K61" s="93"/>
      <c r="R61" s="77"/>
      <c r="S61" s="77"/>
      <c r="T61" s="77"/>
      <c r="U61" s="77"/>
      <c r="V61" s="77"/>
      <c r="W61" s="77" t="s">
        <v>52</v>
      </c>
      <c r="X61" s="77" t="s">
        <v>87</v>
      </c>
      <c r="Y61" s="77"/>
      <c r="Z61" s="77"/>
      <c r="AA61" s="77"/>
      <c r="AB61" s="77"/>
      <c r="AC61" s="77"/>
      <c r="AD61" s="77"/>
      <c r="AE61" s="77"/>
      <c r="AF61" s="77"/>
    </row>
    <row r="62" spans="1:32" ht="13.5" thickBot="1">
      <c r="A62" s="88"/>
      <c r="K62" s="93"/>
      <c r="R62" s="77"/>
      <c r="S62" s="77"/>
      <c r="T62" s="77"/>
      <c r="U62" s="77"/>
      <c r="V62" s="77"/>
      <c r="W62" s="77" t="s">
        <v>53</v>
      </c>
      <c r="X62" s="77" t="s">
        <v>88</v>
      </c>
      <c r="Y62" s="77"/>
      <c r="Z62" s="77"/>
      <c r="AA62" s="77"/>
      <c r="AB62" s="77"/>
      <c r="AC62" s="77"/>
      <c r="AD62" s="77"/>
      <c r="AE62" s="77"/>
      <c r="AF62" s="77"/>
    </row>
    <row r="63" spans="1:32" ht="13.5" thickBot="1">
      <c r="A63" s="88"/>
      <c r="B63" s="96" t="s">
        <v>105</v>
      </c>
      <c r="C63" s="97" t="s">
        <v>15</v>
      </c>
      <c r="D63" s="97" t="s">
        <v>135</v>
      </c>
      <c r="E63" s="97" t="s">
        <v>83</v>
      </c>
      <c r="F63" s="98" t="s">
        <v>136</v>
      </c>
      <c r="I63" s="148" t="s">
        <v>134</v>
      </c>
      <c r="J63" s="149"/>
      <c r="K63" s="149"/>
      <c r="R63" s="77"/>
      <c r="S63" s="77"/>
      <c r="T63" s="77"/>
      <c r="U63" s="77"/>
      <c r="V63" s="77"/>
      <c r="W63" s="77" t="s">
        <v>26</v>
      </c>
      <c r="X63" s="77"/>
      <c r="Y63" s="77"/>
      <c r="Z63" s="77"/>
      <c r="AA63" s="77"/>
      <c r="AB63" s="77"/>
      <c r="AC63" s="77"/>
      <c r="AD63" s="77"/>
      <c r="AE63" s="77"/>
      <c r="AF63" s="77"/>
    </row>
    <row r="64" spans="1:32" ht="13.5" thickBot="1">
      <c r="A64" s="88"/>
      <c r="B64" s="66">
        <f>C43+IF(C49&gt;C54,C49,C54)+IF(J67="Není",0,J67)+IF(LEN(F44)=0,0,(F44+IF(H44="0. stupeň",0,IF(H44="1. stupeň",1,IF(H44="2. stupeň",2,3)))))+(D59+IF(F59="0. stupeň",0,IF(F59="1. stupeň",1,IF(F59="2. stupeň",2,3))))-I49-G59+B60</f>
        <v>0</v>
      </c>
      <c r="C64" s="67">
        <f>C44+J65-G50+C60+D49</f>
        <v>-4.5</v>
      </c>
      <c r="D64" s="67">
        <f>C46-I44+C60</f>
        <v>0</v>
      </c>
      <c r="E64" s="68">
        <f>E49+J65</f>
        <v>-4</v>
      </c>
      <c r="F64" s="69">
        <f>IF(A55=0,0,C59+IF(F59="0. stupeň",-2,IF(F59="1. stupeň",-1,IF(F59="2. stupeň",-1,0))))</f>
        <v>0</v>
      </c>
      <c r="I64" s="95" t="s">
        <v>122</v>
      </c>
      <c r="J64" s="1">
        <f>IF($H$49="0. stupeň",-6,IF($H$49="1. stupeň",-4,IF($H$49="2. stupeň",-2,0)))</f>
        <v>-6</v>
      </c>
      <c r="K64" s="93"/>
      <c r="R64" s="77"/>
      <c r="S64" s="77"/>
      <c r="T64" s="77"/>
      <c r="U64" s="77"/>
      <c r="V64" s="77"/>
      <c r="W64" s="77" t="s">
        <v>45</v>
      </c>
      <c r="X64" s="77"/>
      <c r="Y64" s="77"/>
      <c r="Z64" s="77"/>
      <c r="AA64" s="77"/>
      <c r="AB64" s="77"/>
      <c r="AC64" s="77"/>
      <c r="AD64" s="77"/>
      <c r="AE64" s="77"/>
      <c r="AF64" s="77"/>
    </row>
    <row r="65" spans="1:32" ht="13.5" thickBot="1">
      <c r="A65" s="88"/>
      <c r="B65" s="85" t="str">
        <f>E46</f>
        <v>´</v>
      </c>
      <c r="C65" s="6"/>
      <c r="D65" s="6"/>
      <c r="E65" s="6"/>
      <c r="F65" s="71"/>
      <c r="G65" s="4"/>
      <c r="H65" s="4"/>
      <c r="I65" s="95" t="s">
        <v>123</v>
      </c>
      <c r="J65" s="1">
        <f>IF($H$49="0. stupeň",-4,IF($H$49="1. stupeň",-2,IF($H$49="2. stupeň",-1,0)))</f>
        <v>-4</v>
      </c>
      <c r="K65" s="93"/>
      <c r="R65" s="77"/>
      <c r="S65" s="77"/>
      <c r="T65" s="77"/>
      <c r="U65" s="77"/>
      <c r="V65" s="77"/>
      <c r="W65" s="77" t="s">
        <v>46</v>
      </c>
      <c r="X65" s="77"/>
      <c r="Y65" s="77"/>
      <c r="Z65" s="77"/>
      <c r="AA65" s="77"/>
      <c r="AB65" s="77"/>
      <c r="AC65" s="77"/>
      <c r="AD65" s="77"/>
      <c r="AE65" s="77"/>
      <c r="AF65" s="77"/>
    </row>
    <row r="66" spans="1:32" ht="13.5" thickBot="1">
      <c r="A66" s="88"/>
      <c r="B66" s="99" t="s">
        <v>137</v>
      </c>
      <c r="C66" s="82" t="str">
        <f>IF(A51=0,"Není",C44+J68-G55+C60)</f>
        <v>Není</v>
      </c>
      <c r="D66" s="83" t="str">
        <f>IF(A51=0,"Není",C46-I44+C60)</f>
        <v>Není</v>
      </c>
      <c r="E66" s="84" t="str">
        <f>IF(A51=0,"Není",E54+J68)</f>
        <v>Není</v>
      </c>
      <c r="F66" s="72"/>
      <c r="G66" s="143"/>
      <c r="H66" s="4"/>
      <c r="I66" s="95" t="s">
        <v>133</v>
      </c>
      <c r="J66" s="93"/>
      <c r="K66" s="93"/>
      <c r="R66" s="77"/>
      <c r="S66" s="77"/>
      <c r="T66" s="77"/>
      <c r="U66" s="77"/>
      <c r="V66" s="77"/>
      <c r="W66" s="77" t="s">
        <v>47</v>
      </c>
      <c r="X66" s="77"/>
      <c r="Y66" s="77"/>
      <c r="Z66" s="77"/>
      <c r="AA66" s="77"/>
      <c r="AB66" s="77"/>
      <c r="AC66" s="77"/>
      <c r="AD66" s="77"/>
      <c r="AE66" s="77"/>
      <c r="AF66" s="77"/>
    </row>
    <row r="67" spans="1:32" ht="13.5" thickBot="1">
      <c r="A67" s="88"/>
      <c r="B67" s="41" t="str">
        <f>IF((A51+A55)&gt;0,IF((A51+A47)&gt;0,"V pořádku","Ještě zbraň"),"Doplň název zbraně")</f>
        <v>Doplň název zbraně</v>
      </c>
      <c r="G67" s="70"/>
      <c r="H67" s="4"/>
      <c r="I67" s="95" t="s">
        <v>122</v>
      </c>
      <c r="J67" s="1" t="str">
        <f>IF(A51=0,"Není",IF($H$54="0. stupeň",-6,IF($H$54="1. stupeň",-4,IF($H$54="2. stupeň",-2,0))))</f>
        <v>Není</v>
      </c>
      <c r="K67" s="130"/>
      <c r="R67" s="77"/>
      <c r="S67" s="77"/>
      <c r="T67" s="77"/>
      <c r="U67" s="77"/>
      <c r="V67" s="77"/>
      <c r="W67" s="77" t="s">
        <v>48</v>
      </c>
      <c r="X67" s="77"/>
      <c r="Y67" s="77"/>
      <c r="Z67" s="77"/>
      <c r="AA67" s="77"/>
      <c r="AB67" s="77"/>
      <c r="AC67" s="77"/>
      <c r="AD67" s="77"/>
      <c r="AE67" s="77"/>
      <c r="AF67" s="77"/>
    </row>
    <row r="68" spans="1:32" ht="13.5" thickBot="1">
      <c r="A68" s="88"/>
      <c r="B68" s="42" t="str">
        <f>IF(AND(A47,A51,A55)=TRUE,"Chyba - máš vyplněný obě zbraně a štít","V pořádku")</f>
        <v>V pořádku</v>
      </c>
      <c r="C68" s="93"/>
      <c r="D68" s="93"/>
      <c r="E68" s="93"/>
      <c r="F68" s="93"/>
      <c r="G68" s="93"/>
      <c r="H68" s="93"/>
      <c r="I68" s="95" t="s">
        <v>123</v>
      </c>
      <c r="J68" s="1" t="str">
        <f>IF(A51=0,"Není",IF($H$54="0. stupeň",-4,IF($H$54="1. stupeň",-2,IF($H$54="2. stupeň",-1,0))))</f>
        <v>Není</v>
      </c>
      <c r="K68" s="93"/>
      <c r="R68" s="77"/>
      <c r="S68" s="77"/>
      <c r="T68" s="77"/>
      <c r="U68" s="77"/>
      <c r="V68" s="77"/>
      <c r="W68" s="77" t="s">
        <v>49</v>
      </c>
      <c r="X68" s="77"/>
      <c r="Y68" s="77"/>
      <c r="Z68" s="77"/>
      <c r="AA68" s="77"/>
      <c r="AB68" s="77"/>
      <c r="AC68" s="77"/>
      <c r="AD68" s="77"/>
      <c r="AE68" s="77"/>
      <c r="AF68" s="77"/>
    </row>
    <row r="69" spans="1:32">
      <c r="A69" s="88"/>
      <c r="B69" s="129" t="str">
        <f>IF(OR(A47,A51,A55),"chyba","v pořádku")</f>
        <v>v pořádku</v>
      </c>
      <c r="C69" s="88"/>
      <c r="D69" s="88"/>
      <c r="E69" s="88"/>
      <c r="F69" s="88"/>
      <c r="G69" s="88"/>
      <c r="H69" s="88"/>
      <c r="I69" s="88"/>
      <c r="J69" s="88"/>
      <c r="K69" s="93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</row>
    <row r="70" spans="1:32">
      <c r="A70" s="88"/>
      <c r="B70" s="129" t="str">
        <f>IF(B49&gt;0,"V pořádku",IF(B54&gt;0,"V pořádku",IF(B59&gt;0,"V pořádku",IF(OR(A47,A51,A55),"chyba","v pořádku"))))</f>
        <v>v pořádku</v>
      </c>
      <c r="C70" s="88"/>
      <c r="D70" s="88"/>
      <c r="E70" s="88"/>
      <c r="F70" s="88"/>
      <c r="G70" s="88"/>
      <c r="H70" s="88"/>
      <c r="I70" s="88"/>
      <c r="J70" s="88"/>
      <c r="K70" s="93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</row>
    <row r="71" spans="1:32">
      <c r="A71" s="93"/>
      <c r="K71" s="93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</row>
    <row r="72" spans="1:32">
      <c r="A72" s="93"/>
      <c r="K72" s="93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</row>
    <row r="73" spans="1:32">
      <c r="A73" s="93"/>
      <c r="K73" s="88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</row>
    <row r="74" spans="1:32">
      <c r="A74" s="93"/>
      <c r="K74" s="88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</row>
    <row r="75" spans="1:32">
      <c r="F75" s="4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</row>
    <row r="76" spans="1:32"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</row>
    <row r="77" spans="1:32"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</row>
    <row r="78" spans="1:32"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</row>
    <row r="79" spans="1:32"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</row>
    <row r="80" spans="1:32"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</row>
    <row r="81" spans="18:32"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</row>
    <row r="82" spans="18:32"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</row>
    <row r="83" spans="18:32"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</row>
    <row r="84" spans="18:32"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</row>
    <row r="85" spans="18:32"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</row>
    <row r="86" spans="18:32"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</row>
    <row r="87" spans="18:32"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</row>
    <row r="88" spans="18:32"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</row>
    <row r="89" spans="18:32"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</row>
    <row r="90" spans="18:32"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</row>
    <row r="91" spans="18:32"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8:32"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8:32"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8:32"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8:32"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8:32"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22:31"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22:31"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22:31"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</sheetData>
  <mergeCells count="5">
    <mergeCell ref="B2:G2"/>
    <mergeCell ref="F4:J4"/>
    <mergeCell ref="E7:F7"/>
    <mergeCell ref="D32:I32"/>
    <mergeCell ref="I63:K63"/>
  </mergeCells>
  <dataValidations count="10">
    <dataValidation type="list" allowBlank="1" showInputMessage="1" showErrorMessage="1" sqref="B30">
      <formula1>$X$60:$X$62</formula1>
    </dataValidation>
    <dataValidation type="list" allowBlank="1" showInputMessage="1" showErrorMessage="1" sqref="C34 C32 C36">
      <formula1>$Z$32:$Z$40</formula1>
    </dataValidation>
    <dataValidation type="list" allowBlank="1" showInputMessage="1" showErrorMessage="1" sqref="C4">
      <formula1>$X$45:$X$59</formula1>
    </dataValidation>
    <dataValidation type="list" allowBlank="1" showInputMessage="1" showErrorMessage="1" sqref="C6">
      <formula1>$X$33:$X$44</formula1>
    </dataValidation>
    <dataValidation type="list" allowBlank="1" showInputMessage="1" showErrorMessage="1" sqref="J41">
      <formula1>$Z$33:$Z$53</formula1>
    </dataValidation>
    <dataValidation type="list" allowBlank="1" showInputMessage="1" showErrorMessage="1" sqref="D50">
      <formula1>$AC$32:$AC$34</formula1>
    </dataValidation>
    <dataValidation type="list" allowBlank="1" showInputMessage="1" showErrorMessage="1" sqref="E55">
      <formula1>$AC$33:$AC$34</formula1>
    </dataValidation>
    <dataValidation type="list" allowBlank="1" showInputMessage="1" showErrorMessage="1" sqref="C55">
      <formula1>$Z$54:$Z$58</formula1>
    </dataValidation>
    <dataValidation type="list" allowBlank="1" showInputMessage="1" showErrorMessage="1" sqref="G49 G54">
      <formula1>$AA$32:$AA$41</formula1>
    </dataValidation>
    <dataValidation type="list" allowBlank="1" showInputMessage="1" showErrorMessage="1" sqref="H44 H54 F59 H49">
      <formula1>$Z$54:$Z$57</formula1>
    </dataValidation>
  </dataValidations>
  <hyperlinks>
    <hyperlink ref="C1" r:id="rId1"/>
  </hyperlinks>
  <pageMargins left="0.7" right="0.7" top="0.78740157499999996" bottom="0.78740157499999996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Postav postavu 2,0</vt:lpstr>
      <vt:lpstr>Postav postavu 1,6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Fialík</cp:lastModifiedBy>
  <dcterms:created xsi:type="dcterms:W3CDTF">1996-10-14T23:33:28Z</dcterms:created>
  <dcterms:modified xsi:type="dcterms:W3CDTF">2015-06-07T16:20:04Z</dcterms:modified>
</cp:coreProperties>
</file>